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codeName="{AE6600E7-7A62-396C-DE95-9942FA9DD81E}"/>
  <workbookPr codeName="TämäTyökirja" defaultThemeVersion="124226"/>
  <mc:AlternateContent xmlns:mc="http://schemas.openxmlformats.org/markup-compatibility/2006">
    <mc:Choice Requires="x15">
      <x15ac:absPath xmlns:x15ac="http://schemas.microsoft.com/office/spreadsheetml/2010/11/ac" url="C:\Users\OMISTAJA\Documents\"/>
    </mc:Choice>
  </mc:AlternateContent>
  <xr:revisionPtr revIDLastSave="0" documentId="13_ncr:1_{4899B32D-1E13-433C-B06E-D386EF41922A}" xr6:coauthVersionLast="47" xr6:coauthVersionMax="47" xr10:uidLastSave="{00000000-0000-0000-0000-000000000000}"/>
  <bookViews>
    <workbookView xWindow="-108" yWindow="-108" windowWidth="23256" windowHeight="12576" tabRatio="735" xr2:uid="{00000000-000D-0000-FFFF-FFFF00000000}"/>
  </bookViews>
  <sheets>
    <sheet name="Laskuri" sheetId="25" r:id="rId1"/>
    <sheet name="Lähtötiedot ja kate" sheetId="10" r:id="rId2"/>
    <sheet name="Katelaskelma" sheetId="20" r:id="rId3"/>
    <sheet name="Tuet" sheetId="13" state="hidden" r:id="rId4"/>
    <sheet name="Työnmenekki" sheetId="16" state="hidden" r:id="rId5"/>
    <sheet name="Yleiskustannus" sheetId="19" state="hidden" r:id="rId6"/>
    <sheet name="Ruokinta" sheetId="24" state="hidden" r:id="rId7"/>
  </sheets>
  <definedNames>
    <definedName name="__123Graph_A" localSheetId="2" hidden="1">#REF!</definedName>
    <definedName name="__123Graph_A" localSheetId="6" hidden="1">#REF!</definedName>
    <definedName name="__123Graph_A" hidden="1">#REF!</definedName>
    <definedName name="__123Graph_B" localSheetId="2" hidden="1">#REF!</definedName>
    <definedName name="__123Graph_B" localSheetId="6" hidden="1">#REF!</definedName>
    <definedName name="__123Graph_B" hidden="1">#REF!</definedName>
    <definedName name="__123Graph_X" localSheetId="2" hidden="1">#REF!</definedName>
    <definedName name="__123Graph_X" localSheetId="6" hidden="1">#REF!</definedName>
    <definedName name="__123Graph_X" hidden="1">#REF!</definedName>
    <definedName name="_1__123Graph_AA_KUVIO2" localSheetId="2" hidden="1">#REF!</definedName>
    <definedName name="_1__123Graph_AA_KUVIO2" localSheetId="6" hidden="1">#REF!</definedName>
    <definedName name="_1__123Graph_AA_KUVIO2" hidden="1">#REF!</definedName>
    <definedName name="_123Grap_B" hidden="1">#REF!</definedName>
    <definedName name="_2__123Graph_BA_KUVIO2" localSheetId="2" hidden="1">#REF!</definedName>
    <definedName name="_2__123Graph_BA_KUVIO2" localSheetId="6" hidden="1">#REF!</definedName>
    <definedName name="_2__123Graph_BA_KUVIO2" hidden="1">#REF!</definedName>
    <definedName name="_3__123Graph_XA_KUVIO2" localSheetId="2" hidden="1">#REF!</definedName>
    <definedName name="_3__123Graph_XA_KUVIO2" localSheetId="6" hidden="1">#REF!</definedName>
    <definedName name="_3__123Graph_XA_KUVIO2" hidden="1">#REF!</definedName>
    <definedName name="_Fill" localSheetId="2" hidden="1">#REF!</definedName>
    <definedName name="_Fill" localSheetId="6" hidden="1">#REF!</definedName>
    <definedName name="_Fill" hidden="1">#REF!</definedName>
    <definedName name="_Regression_X" localSheetId="2" hidden="1">#REF!</definedName>
    <definedName name="_Regression_X" localSheetId="6" hidden="1">#REF!</definedName>
    <definedName name="_Regression_X" hidden="1">#REF!</definedName>
    <definedName name="_Regression_Y" localSheetId="2" hidden="1">#REF!</definedName>
    <definedName name="_Regression_Y" localSheetId="6" hidden="1">#REF!</definedName>
    <definedName name="_Regression_Y" hidden="1">#REF!</definedName>
    <definedName name="_xlnm.Print_Area" localSheetId="2">Katelaskelma!$A$1:$I$44</definedName>
    <definedName name="_xlnm.Print_Area" localSheetId="0">Laskuri!$A$1:$J$52</definedName>
    <definedName name="_xlnm.Print_Area" localSheetId="1">'Lähtötiedot ja kate'!$A$1:$H$49</definedName>
  </definedNames>
  <calcPr calcId="191029" calcMode="autoNoTable"/>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1" i="10" l="1"/>
  <c r="G30" i="10"/>
  <c r="B31" i="10"/>
  <c r="C30" i="10"/>
  <c r="B13" i="10"/>
  <c r="F13" i="10" l="1"/>
  <c r="G16" i="24" s="1"/>
  <c r="H8" i="20" l="1"/>
  <c r="E8" i="20"/>
  <c r="E6" i="16" l="1"/>
  <c r="D6" i="16"/>
  <c r="F8" i="19"/>
  <c r="E8" i="19"/>
  <c r="G13" i="20" l="1"/>
  <c r="G12" i="20"/>
  <c r="G9" i="24" l="1"/>
  <c r="G7" i="24"/>
  <c r="I13" i="20"/>
  <c r="G20" i="20"/>
  <c r="I20" i="20" s="1"/>
  <c r="H19" i="20"/>
  <c r="G18" i="20"/>
  <c r="I18" i="20" s="1"/>
  <c r="H17" i="20"/>
  <c r="G16" i="20"/>
  <c r="G7" i="20"/>
  <c r="H7" i="20"/>
  <c r="H11" i="20"/>
  <c r="H10" i="20"/>
  <c r="H9" i="20"/>
  <c r="G11" i="20"/>
  <c r="G10" i="20"/>
  <c r="G9" i="20"/>
  <c r="G19" i="20" s="1"/>
  <c r="G8" i="20"/>
  <c r="G21" i="20"/>
  <c r="G23" i="20"/>
  <c r="G27" i="20"/>
  <c r="H43" i="20"/>
  <c r="G17" i="20"/>
  <c r="H12" i="20" l="1"/>
  <c r="I12" i="20" s="1"/>
  <c r="I17" i="20"/>
  <c r="I11" i="20"/>
  <c r="I10" i="20"/>
  <c r="I8" i="20"/>
  <c r="I7" i="20"/>
  <c r="H21" i="20"/>
  <c r="I21" i="20" s="1"/>
  <c r="I19" i="20"/>
  <c r="I9" i="20"/>
  <c r="H21" i="24" l="1"/>
  <c r="H19" i="24"/>
  <c r="H20" i="24"/>
  <c r="I20" i="24" s="1"/>
  <c r="H18" i="24"/>
  <c r="I14" i="20"/>
  <c r="D7" i="20"/>
  <c r="E7" i="20" l="1"/>
  <c r="D23" i="20" l="1"/>
  <c r="D21" i="20"/>
  <c r="E11" i="20" l="1"/>
  <c r="E43" i="20" l="1"/>
  <c r="G31" i="20" l="1"/>
  <c r="I31" i="20" s="1"/>
  <c r="I32" i="20" s="1"/>
  <c r="D31" i="20"/>
  <c r="F31" i="20" s="1"/>
  <c r="F32" i="20" s="1"/>
  <c r="H27" i="20" l="1"/>
  <c r="I27" i="20" s="1"/>
  <c r="E9" i="24"/>
  <c r="D16" i="20"/>
  <c r="I28" i="20" l="1"/>
  <c r="L9" i="24"/>
  <c r="L8" i="24"/>
  <c r="L11" i="24"/>
  <c r="L14" i="24" s="1"/>
  <c r="E7" i="24"/>
  <c r="L6" i="24"/>
  <c r="L7" i="24" s="1"/>
  <c r="D27" i="20"/>
  <c r="E9" i="20"/>
  <c r="C16" i="24"/>
  <c r="D21" i="24" l="1"/>
  <c r="D19" i="24"/>
  <c r="D18" i="24"/>
  <c r="D20" i="24"/>
  <c r="L13" i="24"/>
  <c r="I21" i="24"/>
  <c r="L12" i="24"/>
  <c r="I18" i="24" s="1"/>
  <c r="I19" i="24"/>
  <c r="D18" i="20"/>
  <c r="E27" i="20"/>
  <c r="E18" i="24" l="1"/>
  <c r="I22" i="24"/>
  <c r="H16" i="20" s="1"/>
  <c r="I16" i="20" s="1"/>
  <c r="H22" i="20" s="1"/>
  <c r="H23" i="20" s="1"/>
  <c r="I23" i="20" s="1"/>
  <c r="I24" i="20" s="1"/>
  <c r="I34" i="20" s="1"/>
  <c r="I36" i="20" s="1"/>
  <c r="G35" i="10" s="1"/>
  <c r="D12" i="20"/>
  <c r="I25" i="20" l="1"/>
  <c r="I29" i="20" s="1"/>
  <c r="D13" i="20"/>
  <c r="D17" i="20" l="1"/>
  <c r="E21" i="24" l="1"/>
  <c r="E19" i="24"/>
  <c r="E20" i="24" l="1"/>
  <c r="E22" i="24" s="1"/>
  <c r="E16" i="20" s="1"/>
  <c r="E19" i="20"/>
  <c r="F18" i="20"/>
  <c r="E17" i="20"/>
  <c r="F17" i="20" s="1"/>
  <c r="F13" i="20"/>
  <c r="D11" i="20"/>
  <c r="E10" i="20"/>
  <c r="D10" i="20"/>
  <c r="D9" i="20"/>
  <c r="D19" i="20" s="1"/>
  <c r="D8" i="20"/>
  <c r="E12" i="20"/>
  <c r="F12" i="20" s="1"/>
  <c r="F11" i="20" l="1"/>
  <c r="F8" i="20"/>
  <c r="F10" i="20"/>
  <c r="F9" i="20"/>
  <c r="E21" i="20"/>
  <c r="F21" i="20" s="1"/>
  <c r="F19" i="20"/>
  <c r="D20" i="20" l="1"/>
  <c r="F20" i="20" s="1"/>
  <c r="F27" i="20"/>
  <c r="F28" i="20" l="1"/>
  <c r="F7" i="20" l="1"/>
  <c r="F14" i="20" l="1"/>
  <c r="F16" i="20" l="1"/>
  <c r="E22" i="20" s="1"/>
  <c r="E23" i="20" l="1"/>
  <c r="F23" i="20" s="1"/>
  <c r="F24" i="20" l="1"/>
  <c r="F34" i="20" s="1"/>
  <c r="F36" i="20" s="1"/>
  <c r="F25" i="20" l="1"/>
  <c r="F29" i="20" s="1"/>
  <c r="C35"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ttl21</author>
  </authors>
  <commentList>
    <comment ref="B13" authorId="0" shapeId="0" xr:uid="{B2071601-B5FD-4240-A33A-F10CAE4D0105}">
      <text>
        <r>
          <rPr>
            <sz val="9"/>
            <color indexed="81"/>
            <rFont val="Tahoma"/>
            <family val="2"/>
          </rPr>
          <t>ekm (kg) = maitotuotos (kg) × (383 × rasva-% + 242 × valk-% + 783,2) / 3140</t>
        </r>
      </text>
    </comment>
    <comment ref="F13" authorId="0" shapeId="0" xr:uid="{00000000-0006-0000-0100-000002000000}">
      <text>
        <r>
          <rPr>
            <sz val="9"/>
            <color indexed="81"/>
            <rFont val="Tahoma"/>
            <family val="2"/>
          </rPr>
          <t>ekm (kg) = maitotuotos (kg) × (383 × rasva-% + 242 × valk-% + 783,2) / 3140</t>
        </r>
      </text>
    </comment>
    <comment ref="C29" authorId="0" shapeId="0" xr:uid="{00000000-0006-0000-0100-000003000000}">
      <text>
        <r>
          <rPr>
            <sz val="9"/>
            <color indexed="81"/>
            <rFont val="Tahoma"/>
            <family val="2"/>
          </rPr>
          <t>Kotoisen rehun tuotantokustannuksesta vähennetään peltoalaperusteiset tuiet</t>
        </r>
      </text>
    </comment>
    <comment ref="G29" authorId="0" shapeId="0" xr:uid="{00000000-0006-0000-0100-000004000000}">
      <text>
        <r>
          <rPr>
            <sz val="9"/>
            <color indexed="81"/>
            <rFont val="Tahoma"/>
            <family val="2"/>
          </rPr>
          <t>Kotoisen rehun tuotantokustannuksesta vähennetään peltoalaperusteiset tuiet</t>
        </r>
      </text>
    </comment>
    <comment ref="B31" authorId="0" shapeId="0" xr:uid="{00000000-0006-0000-0100-000005000000}">
      <text>
        <r>
          <rPr>
            <sz val="9"/>
            <color indexed="81"/>
            <rFont val="Tahoma"/>
            <family val="2"/>
          </rPr>
          <t>Sisältää ainoastaan kotieläintyön</t>
        </r>
      </text>
    </comment>
    <comment ref="F31" authorId="0" shapeId="0" xr:uid="{00000000-0006-0000-0100-000006000000}">
      <text>
        <r>
          <rPr>
            <sz val="9"/>
            <color indexed="81"/>
            <rFont val="Tahoma"/>
            <family val="2"/>
          </rPr>
          <t>Sisältää ainoastaan kotieläintyön</t>
        </r>
      </text>
    </comment>
  </commentList>
</comments>
</file>

<file path=xl/sharedStrings.xml><?xml version="1.0" encoding="utf-8"?>
<sst xmlns="http://schemas.openxmlformats.org/spreadsheetml/2006/main" count="258" uniqueCount="154">
  <si>
    <t>Vasikka, lehmä</t>
  </si>
  <si>
    <t>Vasikka, sonni</t>
  </si>
  <si>
    <t>Eläinlääkintä</t>
  </si>
  <si>
    <t>Siemennys</t>
  </si>
  <si>
    <t>Eläinpääoman korko</t>
  </si>
  <si>
    <t>Tukialue</t>
  </si>
  <si>
    <t>Alkioiden myynti, kpl/vuosi</t>
  </si>
  <si>
    <t>Yleiskustannus</t>
  </si>
  <si>
    <t>Hiehon poikimaikä, pv</t>
  </si>
  <si>
    <t>Poikimaväli, pv</t>
  </si>
  <si>
    <t>Uudistus, %</t>
  </si>
  <si>
    <t>Yksikkö</t>
  </si>
  <si>
    <t>€/lehmä</t>
  </si>
  <si>
    <t>kg</t>
  </si>
  <si>
    <t>kpl</t>
  </si>
  <si>
    <t>Tuotot yhteensä</t>
  </si>
  <si>
    <t>Muuttuvat kustannukset</t>
  </si>
  <si>
    <t>kg ka</t>
  </si>
  <si>
    <t>Uudistus</t>
  </si>
  <si>
    <t>Muuttuvat kustannukset yhteensä</t>
  </si>
  <si>
    <t>Katetuotto A</t>
  </si>
  <si>
    <t>Työkustannukset</t>
  </si>
  <si>
    <t>Katetuotto B</t>
  </si>
  <si>
    <t>Yleiskustannukset</t>
  </si>
  <si>
    <t xml:space="preserve">Maito </t>
  </si>
  <si>
    <t>litra</t>
  </si>
  <si>
    <t xml:space="preserve">Liha </t>
  </si>
  <si>
    <t>Maidon tuotantotuki</t>
  </si>
  <si>
    <t>Alkio</t>
  </si>
  <si>
    <t>Lehmäkohtainen tuki</t>
  </si>
  <si>
    <t>h</t>
  </si>
  <si>
    <t>€</t>
  </si>
  <si>
    <t>Vasikkakuolleisuus, %</t>
  </si>
  <si>
    <t>Siemennykset, kpl/tiineys</t>
  </si>
  <si>
    <t xml:space="preserve">Liikepääoman korko </t>
  </si>
  <si>
    <t xml:space="preserve">Liikepääoman määrä </t>
  </si>
  <si>
    <t>a' hinta</t>
  </si>
  <si>
    <t>€/tunti</t>
  </si>
  <si>
    <t>€/päivä</t>
  </si>
  <si>
    <t>Nurmisäilörehu</t>
  </si>
  <si>
    <t>Ohra</t>
  </si>
  <si>
    <t>Vilja</t>
  </si>
  <si>
    <t>Lypsykivennäinen</t>
  </si>
  <si>
    <t>Rehu,kg ka / pv</t>
  </si>
  <si>
    <t>TUET</t>
  </si>
  <si>
    <t>AB</t>
  </si>
  <si>
    <t>C1</t>
  </si>
  <si>
    <t>C2</t>
  </si>
  <si>
    <t>C3P1</t>
  </si>
  <si>
    <t>C3P2</t>
  </si>
  <si>
    <t>C3P3-P4</t>
  </si>
  <si>
    <t>C4P4</t>
  </si>
  <si>
    <t>C4P5</t>
  </si>
  <si>
    <t>€/eläin</t>
  </si>
  <si>
    <t>€/litra</t>
  </si>
  <si>
    <t>Työkustannus yhteensä</t>
  </si>
  <si>
    <t>Hinta</t>
  </si>
  <si>
    <t>Rypsi R</t>
  </si>
  <si>
    <t>Kivennäinen, kg</t>
  </si>
  <si>
    <t>€/kg ka</t>
  </si>
  <si>
    <t>€/kg</t>
  </si>
  <si>
    <t>Karjakoko, lehmää</t>
  </si>
  <si>
    <t>Kotieläintyö</t>
  </si>
  <si>
    <t>Työnmenekki Y = b0 * (x**b1)</t>
  </si>
  <si>
    <t>yksikkö</t>
  </si>
  <si>
    <t>€/alkio</t>
  </si>
  <si>
    <t>Lehmänlihan hinta</t>
  </si>
  <si>
    <t>Sonnivasikan hinta</t>
  </si>
  <si>
    <t>€/vasikka</t>
  </si>
  <si>
    <t>Lehmävasikan hinta</t>
  </si>
  <si>
    <t>€/siemennys</t>
  </si>
  <si>
    <t>Määrä</t>
  </si>
  <si>
    <t>Hiehon kasvatuskustannus</t>
  </si>
  <si>
    <t xml:space="preserve">Aineisto: </t>
  </si>
  <si>
    <t>Ruokintapäiviä</t>
  </si>
  <si>
    <t>Tuotot</t>
  </si>
  <si>
    <t>€/vuosi</t>
  </si>
  <si>
    <t>€/lehmä/vuosi</t>
  </si>
  <si>
    <t>Muu kotieläinkustannus</t>
  </si>
  <si>
    <t>C2pohj. , C-saar.</t>
  </si>
  <si>
    <t>RUOKINTA</t>
  </si>
  <si>
    <t>Yleiskustannus Y = b0 * (x**b1)</t>
  </si>
  <si>
    <t>TYÖNMENEKKI</t>
  </si>
  <si>
    <t>Ummessaoloaika, pv</t>
  </si>
  <si>
    <t>Kate rakennus- ja konekustannuksille</t>
  </si>
  <si>
    <t>Tilan sijainti ja koko</t>
  </si>
  <si>
    <t>Tuotosvaihtoehdot</t>
  </si>
  <si>
    <t>Vakio- ja keskituotos</t>
  </si>
  <si>
    <t>kg/lypsykausi</t>
  </si>
  <si>
    <t>Lypsykauden tuotos</t>
  </si>
  <si>
    <t>Kate lehmäpaikan kiinteille kustannuksille</t>
  </si>
  <si>
    <t>Poikimaväli</t>
  </si>
  <si>
    <t>- josta säilörehua</t>
  </si>
  <si>
    <t>- josta viljaa</t>
  </si>
  <si>
    <t>- josta kivennäistä</t>
  </si>
  <si>
    <t>Ylläpitotarve, kg ka /pv*</t>
  </si>
  <si>
    <t>Tiineystarve, kg ka*</t>
  </si>
  <si>
    <t xml:space="preserve">Kotieläintyö, tuntia/lehmä/vuosi </t>
  </si>
  <si>
    <t>Dieetin kuiva-ainekilon keskimääräinen hinta</t>
  </si>
  <si>
    <t>Rehu</t>
  </si>
  <si>
    <t>Maidon rasva, %</t>
  </si>
  <si>
    <t>Maidon valkuainen, %</t>
  </si>
  <si>
    <t>Muut muuttuvat kotieläinkustannukset</t>
  </si>
  <si>
    <t>Lypsypäiviä/vuosi</t>
  </si>
  <si>
    <t>-laadittu Lypsikki-sovelluksella rehukustannusta minimoiden</t>
  </si>
  <si>
    <r>
      <t>Lähtötiedot siirtyvät</t>
    </r>
    <r>
      <rPr>
        <b/>
        <sz val="12"/>
        <rFont val="Calibri"/>
        <family val="2"/>
        <scheme val="minor"/>
      </rPr>
      <t xml:space="preserve"> Katelaskelma</t>
    </r>
    <r>
      <rPr>
        <sz val="12"/>
        <rFont val="Calibri"/>
        <family val="2"/>
        <scheme val="minor"/>
      </rPr>
      <t xml:space="preserve">-välilehdelle, jossa niiden pohjalta määritetään lehmäpaikan kiinteille kustannuksille saatava kate. Tulos näkyy myös Lähtötiedot ja kate -välilehdellä. </t>
    </r>
  </si>
  <si>
    <t>Lypsylehmän hedelmällisyysominaisuuksien ja erilaisten hoitokäytäntöjen taloudellisen arvon määrittäminen</t>
  </si>
  <si>
    <t>Korko, %</t>
  </si>
  <si>
    <t>kg EKM/pv</t>
  </si>
  <si>
    <t>Yleiskutannus yhteensä</t>
  </si>
  <si>
    <t>Kustannukset yhteensä</t>
  </si>
  <si>
    <t>Kate lehmäpaikan vuotuisille rakennus- ja konekustannuksille</t>
  </si>
  <si>
    <t>Maidontuotannon katelaskelman lähtötiedot</t>
  </si>
  <si>
    <t>Katelaskelman muuttujat</t>
  </si>
  <si>
    <t>Laskuri on tarkoitettu ensisijaisesti lypsylehmien hedelmällisyyteen liittyvien tekijöiden tarkasteluun. Näin ollen laskelmassa ei ole mukana esimerkiksi sellaisia tukieriä, joihin ko. asioilla ei ole vaikutusta. Tulokseksi saatu kate ei siten välttämättä kerro katteen todellista tasoa, mutta mahdollistaa laskelmassa mukana olevien tunnuslukujen taloudellisen merkityksen arvioinnin.</t>
  </si>
  <si>
    <t>Tuet 2017</t>
  </si>
  <si>
    <t>Lypsylehmä-palkkio</t>
  </si>
  <si>
    <t>*Oletus: 0,1 kg ka/MJ</t>
  </si>
  <si>
    <t>c/0,1%</t>
  </si>
  <si>
    <t>Lehmän keskituotos</t>
  </si>
  <si>
    <t>​C2</t>
  </si>
  <si>
    <t>​C2 pohjoinen ja saaristo</t>
  </si>
  <si>
    <t>​C3–P1</t>
  </si>
  <si>
    <t>​C3–P2</t>
  </si>
  <si>
    <t>​C3–P3, P4</t>
  </si>
  <si>
    <t>​C4–P4</t>
  </si>
  <si>
    <t>​C4–P5</t>
  </si>
  <si>
    <t>​C1</t>
  </si>
  <si>
    <t>Hakija voi saada tukivuoden aikana tukea enintään seuraavasta litramäärästä: </t>
  </si>
  <si>
    <t>​miljoonaa litraa</t>
  </si>
  <si>
    <t>​3,5</t>
  </si>
  <si>
    <t>​3,0</t>
  </si>
  <si>
    <t>​2,5</t>
  </si>
  <si>
    <t>​2,0</t>
  </si>
  <si>
    <t>​1,5</t>
  </si>
  <si>
    <t>​1,0</t>
  </si>
  <si>
    <t xml:space="preserve">Rajoite </t>
  </si>
  <si>
    <t>Lähtötiedot 1</t>
  </si>
  <si>
    <t>Lähtötiedot 2</t>
  </si>
  <si>
    <t>LÄHTÖTIEDOT 1</t>
  </si>
  <si>
    <t>LÄHTÖTIEDOT 2</t>
  </si>
  <si>
    <r>
      <rPr>
        <b/>
        <sz val="12"/>
        <rFont val="Calibri"/>
        <family val="2"/>
        <scheme val="minor"/>
      </rPr>
      <t>Poikimaväli-laskuri</t>
    </r>
    <r>
      <rPr>
        <sz val="12"/>
        <rFont val="Calibri"/>
        <family val="2"/>
        <scheme val="minor"/>
      </rPr>
      <t xml:space="preserve"> on laskentapohja, jolla voidaan määrittää lypsylehmäpaikan kiinteille kustannuksille saatava vuotuinen kate lehmän hedelmällisyysominaisuuksien tai niihin liittyvien tavoitteellisten tunnuslukujen mukaan. Kiinteiksi kustannuksiksi laskurissa katsotaan eläinpaikan rakennus- ja konekustannukset (korko, poisto, ylläpito). </t>
    </r>
  </si>
  <si>
    <t>Viimeisin päivitys</t>
  </si>
  <si>
    <t>Laskelmassa lehmän tuotokseksi asetetaan lypsykauden tuotos, josta laskelmapohja johtaa lehmän vuosi- ja päivätuotoksen vuotuisen maitotuoton ja rehukustannuksen määrittämiseksi. Laskelman lopputuloksen kannalta on oleellista, että kysytty tuotos vastaa lehmän lypsykäyrän muotoa. Pitkään lypsävillä lehmillä lypsykauden kokonaistuotos kasvaa poikimavälin pidentyessä. Nopeasti ehtyvillä lehmillä tilanne on erilainen; niillä tuotoksen sijaan kasvaa ummessaolopäivien määrä. Lypsykauden tuotos on saatavissa mm. lypsyrobotin tuottamista raporteista.</t>
  </si>
  <si>
    <t>Valtioneuvoston asetus</t>
  </si>
  <si>
    <t>YLEISKUSTANNUS</t>
  </si>
  <si>
    <t>Muut muuttuvat kotieläinkustannukset pitävät sisällään eläimiin suoraan liittyvät kustannukset, joita laskelmassa ei ole mainittu omina kustannuserinään. Näitä ovat navettatarvikkeet, puhtaanapito, karjantarkkailu, kantakirjaus yms. sekä sähkö ja vesi. Yleiskustannus pitää sisällään vakuutukset (ei MYEL) ja ns. muun kiinteän kustannuksen kuten toimisto-, puhelin-, koulutus-, neuvonta- ja työterveyshuoltokustannukset sekä julkiset maksut kuten kiinteistöveron ja luomutarkastukset.</t>
  </si>
  <si>
    <t>Yleiskustannuksessa mukana vakuutukset (pl. MYEL) ja muu kiinteä kustannus</t>
  </si>
  <si>
    <t>Lähde: Taloustohtori, vuoden 2019 maitotilojen suuruusluokittaiset keskiarvot</t>
  </si>
  <si>
    <t>Kannattavuuskirjanpidon maitotilat 2011 (N=335), indeksikorjaus Kuluttajahintaindeksillä=2010=100</t>
  </si>
  <si>
    <t>E-luokan normimaidon hinta (rasva 4,3%, valkuainen 3,3%)</t>
  </si>
  <si>
    <r>
      <t>Lähtötiedot ja kate -välilehdellä</t>
    </r>
    <r>
      <rPr>
        <sz val="12"/>
        <rFont val="Calibri"/>
        <family val="2"/>
        <scheme val="minor"/>
      </rPr>
      <t xml:space="preserve"> asetetaan laskelman lähtötiedot tilasta ja karjasta sekä panosten ja tuotosten määristä ja hinnoista. Lähtötiedoille on olemassa kaksi saman-muotoista pohjaa, mikä mahdollistaa erilaisilla lähtöarvoilla saatavien tulosten helpon  vertailun. Lähtöarvoille on annettu oletusarvot, jotka perustuvat tuotosseurannan,  kannattavuuskirjanpidon ja  International Farm Comparison Network (IFCN)-tyyppitilojen tietoihin. Lähtötiedot 1:n oletusarvot vastaavat suunnilleen tuotosseurannan keskiarvoja. Lähtötiedot 2:n oletusarvoilla saavutetaan sama kate alemmalla tuotoksella, mutta paremmilla hedelmällisyyden tunnusluvuilla. Vihreisiin soluihin sijoitetut oletusarvot ovat käyttäjän muokattavissa vastaaman karjakohtaisia arvoja. Arvoja vaihtelemalla voi tarkastella, kuinka eri tunnuslukujen muutokset vaikuttavat katteeseen. Tuotosmuutosten vaikutukset tulevat automaattisesti huomioon otetuiksi rehunkulutuksessa. Työ- ja yleiskustannuksen lehmäkohtaiset oletusarvot ovat puolestaan kytköksissä asetettuun karjakokoon. </t>
    </r>
  </si>
  <si>
    <t>83/2023</t>
  </si>
  <si>
    <t>1383/2022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</si>
</sst>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0\ &quot;€&quot;;[Red]\-#,##0\ &quot;€&quot;"/>
    <numFmt numFmtId="164" formatCode="0.000"/>
    <numFmt numFmtId="165" formatCode="0.0\ %"/>
    <numFmt numFmtId="166" formatCode="0.0"/>
    <numFmt numFmtId="167" formatCode="#,##0.0"/>
  </numFmts>
  <fonts count="36" x14ac:knownFonts="1">
    <font>
      <sz val="10"/>
      <name val="Arial"/>
    </font>
    <font>
      <sz val="10"/>
      <name val="Arial"/>
      <family val="2"/>
    </font>
    <font>
      <sz val="12"/>
      <name val="Calibri"/>
      <family val="2"/>
      <scheme val="minor"/>
    </font>
    <font>
      <b/>
      <sz val="10"/>
      <name val="Arial"/>
      <family val="2"/>
    </font>
    <font>
      <sz val="9"/>
      <color indexed="81"/>
      <name val="Tahoma"/>
      <family val="2"/>
    </font>
    <font>
      <sz val="11"/>
      <color rgb="FF006100"/>
      <name val="Calibri"/>
      <family val="2"/>
      <scheme val="minor"/>
    </font>
    <font>
      <sz val="9"/>
      <color indexed="8"/>
      <name val="Arial"/>
      <family val="2"/>
    </font>
    <font>
      <b/>
      <sz val="12"/>
      <name val="Arial"/>
      <family val="2"/>
    </font>
    <font>
      <sz val="10"/>
      <name val="Calibri"/>
      <family val="2"/>
      <scheme val="minor"/>
    </font>
    <font>
      <sz val="11"/>
      <name val="Calibri"/>
      <family val="2"/>
      <scheme val="minor"/>
    </font>
    <font>
      <b/>
      <sz val="11"/>
      <name val="Calibri"/>
      <family val="2"/>
      <scheme val="minor"/>
    </font>
    <font>
      <sz val="11"/>
      <color rgb="FF9C0006"/>
      <name val="Calibri"/>
      <family val="2"/>
      <scheme val="minor"/>
    </font>
    <font>
      <b/>
      <sz val="10"/>
      <color rgb="FF000000"/>
      <name val="Arial"/>
      <family val="2"/>
    </font>
    <font>
      <b/>
      <sz val="12"/>
      <name val="Calibri"/>
      <family val="2"/>
      <scheme val="minor"/>
    </font>
    <font>
      <sz val="12"/>
      <name val="Arial"/>
      <family val="2"/>
    </font>
    <font>
      <sz val="12"/>
      <color rgb="FF006100"/>
      <name val="Calibri"/>
      <family val="2"/>
      <scheme val="minor"/>
    </font>
    <font>
      <b/>
      <sz val="13"/>
      <name val="Arial"/>
      <family val="2"/>
    </font>
    <font>
      <sz val="13"/>
      <name val="Arial"/>
      <family val="2"/>
    </font>
    <font>
      <sz val="13"/>
      <name val="Calibri"/>
      <family val="2"/>
      <scheme val="minor"/>
    </font>
    <font>
      <b/>
      <sz val="11"/>
      <color theme="1"/>
      <name val="Calibri"/>
      <family val="2"/>
      <scheme val="minor"/>
    </font>
    <font>
      <sz val="10"/>
      <name val="Arial"/>
      <family val="2"/>
    </font>
    <font>
      <b/>
      <sz val="14"/>
      <name val="Calibri"/>
      <family val="2"/>
      <scheme val="minor"/>
    </font>
    <font>
      <sz val="12"/>
      <color theme="1"/>
      <name val="Calibri"/>
      <family val="2"/>
      <scheme val="minor"/>
    </font>
    <font>
      <b/>
      <sz val="12"/>
      <color theme="1"/>
      <name val="Calibri"/>
      <family val="2"/>
      <scheme val="minor"/>
    </font>
    <font>
      <sz val="14"/>
      <name val="Arial"/>
      <family val="2"/>
    </font>
    <font>
      <sz val="12"/>
      <name val="Calibri"/>
      <family val="2"/>
    </font>
    <font>
      <sz val="12"/>
      <color rgb="FF000000"/>
      <name val="Calibri"/>
      <family val="2"/>
      <scheme val="minor"/>
    </font>
    <font>
      <b/>
      <sz val="12"/>
      <color rgb="FF000000"/>
      <name val="Calibri"/>
      <family val="2"/>
    </font>
    <font>
      <sz val="12"/>
      <color theme="1" tint="0.249977111117893"/>
      <name val="Calibri"/>
      <family val="2"/>
      <scheme val="minor"/>
    </font>
    <font>
      <sz val="12"/>
      <color theme="1" tint="0.249977111117893"/>
      <name val="Arial"/>
      <family val="2"/>
    </font>
    <font>
      <b/>
      <sz val="12"/>
      <color theme="1" tint="0.249977111117893"/>
      <name val="Arial"/>
      <family val="2"/>
    </font>
    <font>
      <b/>
      <sz val="13.5"/>
      <name val="Arial"/>
      <family val="2"/>
    </font>
    <font>
      <b/>
      <sz val="10"/>
      <name val="Arial"/>
      <family val="2"/>
    </font>
    <font>
      <b/>
      <sz val="12"/>
      <color rgb="FF7030A0"/>
      <name val="Calibri"/>
      <family val="2"/>
      <scheme val="minor"/>
    </font>
    <font>
      <sz val="14"/>
      <name val="Calibri"/>
      <family val="2"/>
      <scheme val="minor"/>
    </font>
    <font>
      <b/>
      <sz val="9"/>
      <color indexed="8"/>
      <name val="Arial"/>
      <family val="2"/>
    </font>
  </fonts>
  <fills count="8">
    <fill>
      <patternFill patternType="none"/>
    </fill>
    <fill>
      <patternFill patternType="gray125"/>
    </fill>
    <fill>
      <patternFill patternType="solid">
        <fgColor indexed="9"/>
        <bgColor indexed="64"/>
      </patternFill>
    </fill>
    <fill>
      <patternFill patternType="solid">
        <fgColor rgb="FFC6EFCE"/>
      </patternFill>
    </fill>
    <fill>
      <patternFill patternType="solid">
        <fgColor theme="0"/>
        <bgColor indexed="64"/>
      </patternFill>
    </fill>
    <fill>
      <patternFill patternType="solid">
        <fgColor rgb="FF99FFCC"/>
        <bgColor indexed="64"/>
      </patternFill>
    </fill>
    <fill>
      <patternFill patternType="solid">
        <fgColor rgb="FFFFC7CE"/>
      </patternFill>
    </fill>
    <fill>
      <patternFill patternType="solid">
        <fgColor rgb="FFCCECFF"/>
        <bgColor indexed="64"/>
      </patternFill>
    </fill>
  </fills>
  <borders count="17">
    <border>
      <left/>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indexed="64"/>
      </right>
      <top style="thin">
        <color auto="1"/>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style="thin">
        <color auto="1"/>
      </left>
      <right/>
      <top style="thin">
        <color indexed="64"/>
      </top>
      <bottom/>
      <diagonal/>
    </border>
    <border>
      <left/>
      <right/>
      <top style="thin">
        <color indexed="64"/>
      </top>
      <bottom/>
      <diagonal/>
    </border>
    <border>
      <left/>
      <right style="thin">
        <color auto="1"/>
      </right>
      <top style="thin">
        <color indexed="64"/>
      </top>
      <bottom/>
      <diagonal/>
    </border>
    <border>
      <left/>
      <right/>
      <top style="thin">
        <color auto="1"/>
      </top>
      <bottom style="thin">
        <color indexed="64"/>
      </bottom>
      <diagonal/>
    </border>
    <border>
      <left style="thin">
        <color indexed="64"/>
      </left>
      <right/>
      <top style="thin">
        <color indexed="64"/>
      </top>
      <bottom style="thin">
        <color auto="1"/>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8">
    <xf numFmtId="0" fontId="0" fillId="0" borderId="0"/>
    <xf numFmtId="0" fontId="1" fillId="0" borderId="0"/>
    <xf numFmtId="0" fontId="1" fillId="0" borderId="0"/>
    <xf numFmtId="9" fontId="1" fillId="0" borderId="0" applyFont="0" applyFill="0" applyBorder="0" applyAlignment="0" applyProtection="0"/>
    <xf numFmtId="0" fontId="5" fillId="3" borderId="0" applyNumberFormat="0" applyBorder="0" applyAlignment="0" applyProtection="0"/>
    <xf numFmtId="0" fontId="11" fillId="6" borderId="0" applyNumberFormat="0" applyBorder="0" applyAlignment="0" applyProtection="0"/>
    <xf numFmtId="9" fontId="20" fillId="0" borderId="0" applyFont="0" applyFill="0" applyBorder="0" applyAlignment="0" applyProtection="0"/>
    <xf numFmtId="9" fontId="1" fillId="0" borderId="0" applyFont="0" applyFill="0" applyBorder="0" applyAlignment="0" applyProtection="0"/>
  </cellStyleXfs>
  <cellXfs count="217">
    <xf numFmtId="0" fontId="0" fillId="0" borderId="0" xfId="0"/>
    <xf numFmtId="0" fontId="1" fillId="0" borderId="0" xfId="0" applyFont="1"/>
    <xf numFmtId="0" fontId="3" fillId="0" borderId="0" xfId="0" applyFont="1"/>
    <xf numFmtId="0" fontId="1" fillId="0" borderId="0" xfId="2"/>
    <xf numFmtId="0" fontId="6" fillId="2" borderId="0" xfId="0" applyFont="1" applyFill="1"/>
    <xf numFmtId="0" fontId="1" fillId="0" borderId="0" xfId="2" applyAlignment="1">
      <alignment horizontal="right"/>
    </xf>
    <xf numFmtId="0" fontId="0" fillId="4" borderId="0" xfId="0" applyFill="1"/>
    <xf numFmtId="0" fontId="14" fillId="0" borderId="0" xfId="0" applyFont="1"/>
    <xf numFmtId="0" fontId="2" fillId="0" borderId="0" xfId="0" applyFont="1"/>
    <xf numFmtId="0" fontId="2" fillId="0" borderId="0" xfId="0" applyFont="1" applyAlignment="1">
      <alignment horizontal="center"/>
    </xf>
    <xf numFmtId="0" fontId="16" fillId="0" borderId="0" xfId="0" applyFont="1"/>
    <xf numFmtId="0" fontId="17" fillId="0" borderId="0" xfId="0" applyFont="1"/>
    <xf numFmtId="0" fontId="18" fillId="0" borderId="0" xfId="0" applyFont="1"/>
    <xf numFmtId="0" fontId="0" fillId="4" borderId="0" xfId="0" applyFill="1" applyProtection="1">
      <protection locked="0"/>
    </xf>
    <xf numFmtId="0" fontId="3" fillId="4" borderId="0" xfId="0" applyFont="1" applyFill="1"/>
    <xf numFmtId="0" fontId="9" fillId="0" borderId="0" xfId="0" applyFont="1"/>
    <xf numFmtId="2" fontId="9" fillId="0" borderId="0" xfId="0" applyNumberFormat="1" applyFont="1"/>
    <xf numFmtId="0" fontId="10" fillId="0" borderId="0" xfId="0" applyFont="1"/>
    <xf numFmtId="3" fontId="19" fillId="0" borderId="0" xfId="0" applyNumberFormat="1" applyFont="1" applyAlignment="1" applyProtection="1">
      <alignment horizontal="left" vertical="center" wrapText="1"/>
      <protection locked="0"/>
    </xf>
    <xf numFmtId="3" fontId="19" fillId="0" borderId="0" xfId="0" applyNumberFormat="1" applyFont="1" applyAlignment="1" applyProtection="1">
      <alignment vertical="center" wrapText="1"/>
      <protection locked="0"/>
    </xf>
    <xf numFmtId="3" fontId="10" fillId="0" borderId="0" xfId="0" applyNumberFormat="1" applyFont="1"/>
    <xf numFmtId="0" fontId="9" fillId="0" borderId="0" xfId="0" applyFont="1" applyProtection="1">
      <protection locked="0"/>
    </xf>
    <xf numFmtId="165" fontId="9" fillId="0" borderId="0" xfId="0" applyNumberFormat="1" applyFont="1" applyProtection="1">
      <protection locked="0"/>
    </xf>
    <xf numFmtId="0" fontId="13" fillId="0" borderId="0" xfId="0" applyFont="1"/>
    <xf numFmtId="0" fontId="21" fillId="0" borderId="0" xfId="0" applyFont="1"/>
    <xf numFmtId="0" fontId="2" fillId="0" borderId="0" xfId="0" applyFont="1" applyAlignment="1">
      <alignment vertical="center"/>
    </xf>
    <xf numFmtId="0" fontId="22" fillId="0" borderId="1" xfId="0" applyFont="1" applyBorder="1" applyAlignment="1">
      <alignment vertical="center" wrapText="1"/>
    </xf>
    <xf numFmtId="2" fontId="22" fillId="0" borderId="0" xfId="0" applyNumberFormat="1" applyFont="1" applyAlignment="1">
      <alignment vertical="center"/>
    </xf>
    <xf numFmtId="3" fontId="22" fillId="0" borderId="0" xfId="0" applyNumberFormat="1" applyFont="1" applyAlignment="1">
      <alignment vertical="center" wrapText="1"/>
    </xf>
    <xf numFmtId="2" fontId="22" fillId="0" borderId="0" xfId="0" applyNumberFormat="1" applyFont="1" applyAlignment="1">
      <alignment vertical="center" wrapText="1"/>
    </xf>
    <xf numFmtId="0" fontId="22" fillId="0" borderId="0" xfId="0" applyFont="1" applyAlignment="1">
      <alignment vertical="center" wrapText="1"/>
    </xf>
    <xf numFmtId="4" fontId="22" fillId="0" borderId="0" xfId="0" applyNumberFormat="1" applyFont="1" applyAlignment="1">
      <alignment vertical="center" wrapText="1"/>
    </xf>
    <xf numFmtId="1" fontId="22" fillId="0" borderId="0" xfId="0" applyNumberFormat="1" applyFont="1" applyAlignment="1">
      <alignment vertical="center" wrapText="1"/>
    </xf>
    <xf numFmtId="9" fontId="22" fillId="0" borderId="0" xfId="0" applyNumberFormat="1" applyFont="1" applyAlignment="1">
      <alignment vertical="center" wrapText="1"/>
    </xf>
    <xf numFmtId="3" fontId="22" fillId="0" borderId="0" xfId="0" applyNumberFormat="1" applyFont="1" applyAlignment="1">
      <alignment horizontal="right" vertical="center" wrapText="1"/>
    </xf>
    <xf numFmtId="3" fontId="22" fillId="0" borderId="0" xfId="0" applyNumberFormat="1" applyFont="1" applyAlignment="1">
      <alignment vertical="center"/>
    </xf>
    <xf numFmtId="3" fontId="23" fillId="0" borderId="0" xfId="0" applyNumberFormat="1" applyFont="1" applyAlignment="1">
      <alignment vertical="center" wrapText="1"/>
    </xf>
    <xf numFmtId="0" fontId="24" fillId="0" borderId="0" xfId="0" applyFont="1"/>
    <xf numFmtId="0" fontId="23" fillId="7" borderId="5" xfId="0" applyFont="1" applyFill="1" applyBorder="1" applyAlignment="1">
      <alignment vertical="center"/>
    </xf>
    <xf numFmtId="0" fontId="23" fillId="7" borderId="4" xfId="0" applyFont="1" applyFill="1" applyBorder="1" applyAlignment="1">
      <alignment vertical="center"/>
    </xf>
    <xf numFmtId="0" fontId="22" fillId="7" borderId="5" xfId="0" applyFont="1" applyFill="1" applyBorder="1" applyAlignment="1">
      <alignment vertical="center" wrapText="1"/>
    </xf>
    <xf numFmtId="0" fontId="7" fillId="7" borderId="0" xfId="0" applyFont="1" applyFill="1"/>
    <xf numFmtId="3" fontId="23" fillId="0" borderId="0" xfId="0" applyNumberFormat="1" applyFont="1" applyAlignment="1">
      <alignment horizontal="left" vertical="center" wrapText="1"/>
    </xf>
    <xf numFmtId="3" fontId="23" fillId="0" borderId="8" xfId="0" applyNumberFormat="1" applyFont="1" applyBorder="1" applyAlignment="1">
      <alignment vertical="center" wrapText="1"/>
    </xf>
    <xf numFmtId="0" fontId="1" fillId="0" borderId="0" xfId="0" applyFont="1" applyAlignment="1">
      <alignment horizontal="left" vertical="center"/>
    </xf>
    <xf numFmtId="3" fontId="22" fillId="0" borderId="2" xfId="0" applyNumberFormat="1" applyFont="1" applyBorder="1" applyAlignment="1">
      <alignment vertical="center" wrapText="1"/>
    </xf>
    <xf numFmtId="3" fontId="22" fillId="0" borderId="4" xfId="0" applyNumberFormat="1" applyFont="1" applyBorder="1" applyAlignment="1">
      <alignment vertical="center" wrapText="1"/>
    </xf>
    <xf numFmtId="3" fontId="23" fillId="0" borderId="4" xfId="0" applyNumberFormat="1" applyFont="1" applyBorder="1" applyAlignment="1">
      <alignment vertical="center"/>
    </xf>
    <xf numFmtId="3" fontId="22" fillId="0" borderId="6" xfId="0" applyNumberFormat="1" applyFont="1" applyBorder="1" applyAlignment="1">
      <alignment vertical="center"/>
    </xf>
    <xf numFmtId="0" fontId="2" fillId="0" borderId="0" xfId="0" applyFont="1" applyAlignment="1">
      <alignment vertical="top" wrapText="1"/>
    </xf>
    <xf numFmtId="0" fontId="23" fillId="7" borderId="3" xfId="0" applyFont="1" applyFill="1" applyBorder="1" applyAlignment="1">
      <alignment vertical="center" wrapText="1"/>
    </xf>
    <xf numFmtId="0" fontId="0" fillId="0" borderId="0" xfId="0" applyProtection="1">
      <protection locked="0"/>
    </xf>
    <xf numFmtId="6" fontId="0" fillId="0" borderId="0" xfId="0" applyNumberFormat="1"/>
    <xf numFmtId="1" fontId="0" fillId="0" borderId="0" xfId="0" applyNumberFormat="1"/>
    <xf numFmtId="0" fontId="2" fillId="0" borderId="0" xfId="0" applyFont="1" applyAlignment="1">
      <alignment horizontal="center" vertical="center" wrapText="1"/>
    </xf>
    <xf numFmtId="164" fontId="2" fillId="0" borderId="0" xfId="0" applyNumberFormat="1" applyFont="1"/>
    <xf numFmtId="1" fontId="2" fillId="0" borderId="0" xfId="0" applyNumberFormat="1" applyFont="1"/>
    <xf numFmtId="0" fontId="26" fillId="0" borderId="0" xfId="0" applyFont="1" applyAlignment="1">
      <alignment horizontal="center" vertical="center"/>
    </xf>
    <xf numFmtId="0" fontId="21" fillId="0" borderId="0" xfId="2" applyFont="1"/>
    <xf numFmtId="0" fontId="2" fillId="0" borderId="0" xfId="2" quotePrefix="1" applyFont="1"/>
    <xf numFmtId="0" fontId="2" fillId="0" borderId="0" xfId="2" applyFont="1"/>
    <xf numFmtId="0" fontId="2" fillId="0" borderId="0" xfId="2" applyFont="1" applyAlignment="1">
      <alignment horizontal="right"/>
    </xf>
    <xf numFmtId="0" fontId="2" fillId="0" borderId="0" xfId="0" quotePrefix="1" applyFont="1"/>
    <xf numFmtId="1" fontId="2" fillId="0" borderId="0" xfId="2" applyNumberFormat="1" applyFont="1" applyAlignment="1">
      <alignment horizontal="right"/>
    </xf>
    <xf numFmtId="166" fontId="2" fillId="0" borderId="0" xfId="0" applyNumberFormat="1" applyFont="1" applyAlignment="1">
      <alignment vertical="center"/>
    </xf>
    <xf numFmtId="166" fontId="2" fillId="0" borderId="0" xfId="2" applyNumberFormat="1" applyFont="1"/>
    <xf numFmtId="1" fontId="2" fillId="0" borderId="0" xfId="2" applyNumberFormat="1" applyFont="1"/>
    <xf numFmtId="2" fontId="2" fillId="0" borderId="0" xfId="2" quotePrefix="1" applyNumberFormat="1" applyFont="1" applyAlignment="1">
      <alignment horizontal="left"/>
    </xf>
    <xf numFmtId="2" fontId="2" fillId="0" borderId="0" xfId="2" applyNumberFormat="1" applyFont="1" applyAlignment="1">
      <alignment horizontal="center"/>
    </xf>
    <xf numFmtId="2" fontId="2" fillId="0" borderId="0" xfId="2" applyNumberFormat="1" applyFont="1"/>
    <xf numFmtId="2" fontId="2" fillId="0" borderId="0" xfId="2" applyNumberFormat="1" applyFont="1" applyAlignment="1">
      <alignment horizontal="right"/>
    </xf>
    <xf numFmtId="0" fontId="2" fillId="0" borderId="0" xfId="2" applyFont="1" applyAlignment="1">
      <alignment vertical="center"/>
    </xf>
    <xf numFmtId="3" fontId="23" fillId="0" borderId="12" xfId="0" applyNumberFormat="1" applyFont="1" applyBorder="1" applyAlignment="1">
      <alignment vertical="center" wrapText="1"/>
    </xf>
    <xf numFmtId="3" fontId="22" fillId="0" borderId="12" xfId="0" applyNumberFormat="1" applyFont="1" applyBorder="1" applyAlignment="1">
      <alignment vertical="center" wrapText="1"/>
    </xf>
    <xf numFmtId="3" fontId="22" fillId="0" borderId="12" xfId="0" applyNumberFormat="1" applyFont="1" applyBorder="1" applyAlignment="1">
      <alignment vertical="center"/>
    </xf>
    <xf numFmtId="0" fontId="23" fillId="0" borderId="12" xfId="0" applyFont="1" applyBorder="1" applyAlignment="1">
      <alignment horizontal="center" vertical="center" wrapText="1"/>
    </xf>
    <xf numFmtId="0" fontId="23" fillId="7" borderId="12" xfId="0" applyFont="1" applyFill="1" applyBorder="1" applyAlignment="1">
      <alignment horizontal="right" vertical="center" wrapText="1"/>
    </xf>
    <xf numFmtId="3" fontId="22" fillId="0" borderId="10" xfId="0" applyNumberFormat="1" applyFont="1" applyBorder="1" applyAlignment="1">
      <alignment vertical="center"/>
    </xf>
    <xf numFmtId="0" fontId="0" fillId="0" borderId="1" xfId="0" applyBorder="1"/>
    <xf numFmtId="0" fontId="23" fillId="0" borderId="13" xfId="0" applyFont="1" applyBorder="1" applyAlignment="1">
      <alignment vertical="center" wrapText="1"/>
    </xf>
    <xf numFmtId="0" fontId="23" fillId="0" borderId="12" xfId="0" applyFont="1" applyBorder="1" applyAlignment="1">
      <alignment horizontal="center" vertical="center"/>
    </xf>
    <xf numFmtId="0" fontId="23" fillId="0" borderId="14" xfId="0" applyFont="1" applyBorder="1" applyAlignment="1">
      <alignment horizontal="center" vertical="center" wrapText="1"/>
    </xf>
    <xf numFmtId="0" fontId="23" fillId="7" borderId="13" xfId="0" applyFont="1" applyFill="1" applyBorder="1" applyAlignment="1">
      <alignment vertical="center" wrapText="1"/>
    </xf>
    <xf numFmtId="0" fontId="23" fillId="7" borderId="12" xfId="0" applyFont="1" applyFill="1" applyBorder="1" applyAlignment="1">
      <alignment vertical="center" wrapText="1"/>
    </xf>
    <xf numFmtId="0" fontId="23" fillId="7" borderId="14" xfId="0" applyFont="1" applyFill="1" applyBorder="1" applyAlignment="1">
      <alignment horizontal="right" vertical="center" wrapText="1"/>
    </xf>
    <xf numFmtId="1" fontId="23" fillId="0" borderId="12" xfId="0" applyNumberFormat="1" applyFont="1" applyBorder="1" applyAlignment="1">
      <alignment vertical="center" wrapText="1"/>
    </xf>
    <xf numFmtId="0" fontId="23" fillId="0" borderId="12" xfId="0" applyFont="1" applyBorder="1" applyAlignment="1">
      <alignment vertical="center" wrapText="1"/>
    </xf>
    <xf numFmtId="3" fontId="23" fillId="0" borderId="14" xfId="0" applyNumberFormat="1" applyFont="1" applyBorder="1" applyAlignment="1">
      <alignment vertical="center" wrapText="1"/>
    </xf>
    <xf numFmtId="0" fontId="23" fillId="0" borderId="12" xfId="0" applyFont="1" applyBorder="1" applyAlignment="1">
      <alignment vertical="center"/>
    </xf>
    <xf numFmtId="4" fontId="2" fillId="0" borderId="0" xfId="0" applyNumberFormat="1" applyFont="1" applyAlignment="1">
      <alignment vertical="center"/>
    </xf>
    <xf numFmtId="3" fontId="23" fillId="0" borderId="13" xfId="0" applyNumberFormat="1" applyFont="1" applyBorder="1" applyAlignment="1">
      <alignment vertical="center" wrapText="1"/>
    </xf>
    <xf numFmtId="3" fontId="23" fillId="7" borderId="13" xfId="0" applyNumberFormat="1" applyFont="1" applyFill="1" applyBorder="1" applyAlignment="1">
      <alignment vertical="center" wrapText="1"/>
    </xf>
    <xf numFmtId="3" fontId="22" fillId="7" borderId="12" xfId="0" applyNumberFormat="1" applyFont="1" applyFill="1" applyBorder="1" applyAlignment="1">
      <alignment vertical="center" wrapText="1"/>
    </xf>
    <xf numFmtId="3" fontId="22" fillId="7" borderId="12" xfId="0" applyNumberFormat="1" applyFont="1" applyFill="1" applyBorder="1" applyAlignment="1">
      <alignment vertical="center"/>
    </xf>
    <xf numFmtId="3" fontId="23" fillId="7" borderId="14" xfId="0" applyNumberFormat="1" applyFont="1" applyFill="1" applyBorder="1" applyAlignment="1">
      <alignment vertical="center" wrapText="1"/>
    </xf>
    <xf numFmtId="3" fontId="22" fillId="0" borderId="13" xfId="0" applyNumberFormat="1" applyFont="1" applyBorder="1" applyAlignment="1">
      <alignment vertical="center" wrapText="1"/>
    </xf>
    <xf numFmtId="3" fontId="22" fillId="0" borderId="14" xfId="0" applyNumberFormat="1" applyFont="1" applyBorder="1" applyAlignment="1">
      <alignment vertical="center" wrapText="1"/>
    </xf>
    <xf numFmtId="0" fontId="22" fillId="0" borderId="3" xfId="0" applyFont="1" applyBorder="1" applyAlignment="1">
      <alignment vertical="center" wrapText="1"/>
    </xf>
    <xf numFmtId="0" fontId="22" fillId="0" borderId="9" xfId="0" applyFont="1" applyBorder="1" applyAlignment="1">
      <alignment vertical="center" wrapText="1"/>
    </xf>
    <xf numFmtId="3" fontId="22" fillId="0" borderId="9" xfId="0" applyNumberFormat="1" applyFont="1" applyBorder="1" applyAlignment="1">
      <alignment vertical="center" wrapText="1"/>
    </xf>
    <xf numFmtId="3" fontId="23" fillId="0" borderId="9" xfId="0" applyNumberFormat="1" applyFont="1" applyBorder="1" applyAlignment="1">
      <alignment vertical="center" wrapText="1"/>
    </xf>
    <xf numFmtId="3" fontId="22" fillId="0" borderId="10" xfId="0" applyNumberFormat="1" applyFont="1" applyBorder="1" applyAlignment="1">
      <alignment vertical="center" wrapText="1"/>
    </xf>
    <xf numFmtId="3" fontId="23" fillId="0" borderId="11" xfId="0" applyNumberFormat="1" applyFont="1" applyBorder="1" applyAlignment="1">
      <alignment vertical="center" wrapText="1"/>
    </xf>
    <xf numFmtId="3" fontId="13" fillId="7" borderId="0" xfId="0" applyNumberFormat="1" applyFont="1" applyFill="1" applyAlignment="1">
      <alignment horizontal="center" vertical="center"/>
    </xf>
    <xf numFmtId="0" fontId="15" fillId="5" borderId="7" xfId="4" applyFont="1" applyFill="1" applyBorder="1" applyAlignment="1" applyProtection="1">
      <alignment horizontal="center" vertical="center"/>
      <protection locked="0"/>
    </xf>
    <xf numFmtId="0" fontId="2" fillId="0" borderId="0" xfId="0" applyFont="1" applyAlignment="1">
      <alignment horizontal="center" vertical="center"/>
    </xf>
    <xf numFmtId="1" fontId="2" fillId="0" borderId="0" xfId="0" applyNumberFormat="1" applyFont="1" applyAlignment="1">
      <alignment horizontal="center" vertical="center"/>
    </xf>
    <xf numFmtId="0" fontId="21" fillId="0" borderId="0" xfId="0" applyFont="1" applyAlignment="1">
      <alignment vertical="center"/>
    </xf>
    <xf numFmtId="0" fontId="13" fillId="0" borderId="0" xfId="0" applyFont="1" applyAlignment="1">
      <alignment vertical="center"/>
    </xf>
    <xf numFmtId="0" fontId="2" fillId="0" borderId="0" xfId="0" quotePrefix="1" applyFont="1" applyAlignment="1">
      <alignment vertical="center"/>
    </xf>
    <xf numFmtId="0" fontId="13" fillId="7" borderId="0" xfId="0" applyFont="1" applyFill="1" applyAlignment="1">
      <alignment vertical="center"/>
    </xf>
    <xf numFmtId="0" fontId="7" fillId="0" borderId="0" xfId="0" applyFont="1" applyAlignment="1">
      <alignment horizontal="center" vertical="center"/>
    </xf>
    <xf numFmtId="0" fontId="11" fillId="0" borderId="0" xfId="5" applyFill="1" applyProtection="1"/>
    <xf numFmtId="9" fontId="14" fillId="0" borderId="0" xfId="0" applyNumberFormat="1" applyFont="1"/>
    <xf numFmtId="0" fontId="7" fillId="0" borderId="0" xfId="0" applyFont="1" applyAlignment="1">
      <alignment horizontal="center"/>
    </xf>
    <xf numFmtId="0" fontId="13" fillId="0" borderId="0" xfId="0" applyFont="1" applyAlignment="1">
      <alignment horizontal="center"/>
    </xf>
    <xf numFmtId="0" fontId="0" fillId="0" borderId="0" xfId="0" applyAlignment="1">
      <alignment horizontal="center" vertical="center"/>
    </xf>
    <xf numFmtId="0" fontId="9" fillId="0" borderId="0" xfId="0" applyFont="1" applyAlignment="1">
      <alignment vertical="center"/>
    </xf>
    <xf numFmtId="0" fontId="13" fillId="0" borderId="0" xfId="0" applyFont="1" applyAlignment="1">
      <alignment horizontal="center" vertical="center"/>
    </xf>
    <xf numFmtId="0" fontId="8" fillId="0" borderId="0" xfId="0" applyFont="1" applyAlignment="1">
      <alignment vertical="center"/>
    </xf>
    <xf numFmtId="0" fontId="13" fillId="7" borderId="0" xfId="0" applyFont="1" applyFill="1" applyAlignment="1">
      <alignment horizontal="center" vertical="center"/>
    </xf>
    <xf numFmtId="0" fontId="8" fillId="0" borderId="0" xfId="0" applyFont="1"/>
    <xf numFmtId="0" fontId="14" fillId="5" borderId="7" xfId="0" applyFont="1" applyFill="1" applyBorder="1" applyAlignment="1" applyProtection="1">
      <alignment horizontal="center" vertical="center"/>
      <protection locked="0"/>
    </xf>
    <xf numFmtId="166" fontId="28" fillId="5" borderId="7" xfId="4" applyNumberFormat="1" applyFont="1" applyFill="1" applyBorder="1" applyAlignment="1" applyProtection="1">
      <alignment horizontal="center" vertical="center"/>
      <protection locked="0"/>
    </xf>
    <xf numFmtId="0" fontId="29" fillId="0" borderId="0" xfId="0" applyFont="1"/>
    <xf numFmtId="2" fontId="28" fillId="5" borderId="7" xfId="4" applyNumberFormat="1" applyFont="1" applyFill="1" applyBorder="1" applyAlignment="1" applyProtection="1">
      <alignment horizontal="center" vertical="center"/>
      <protection locked="0"/>
    </xf>
    <xf numFmtId="1" fontId="28" fillId="5" borderId="7" xfId="4" applyNumberFormat="1" applyFont="1" applyFill="1" applyBorder="1" applyAlignment="1" applyProtection="1">
      <alignment horizontal="center" vertical="center"/>
      <protection locked="0"/>
    </xf>
    <xf numFmtId="1" fontId="28" fillId="0" borderId="0" xfId="4" applyNumberFormat="1" applyFont="1" applyFill="1" applyBorder="1" applyAlignment="1" applyProtection="1">
      <alignment horizontal="center"/>
    </xf>
    <xf numFmtId="1" fontId="28" fillId="0" borderId="7" xfId="2" applyNumberFormat="1" applyFont="1" applyBorder="1" applyAlignment="1">
      <alignment horizontal="center" vertical="center"/>
    </xf>
    <xf numFmtId="0" fontId="29" fillId="0" borderId="0" xfId="0" applyFont="1" applyAlignment="1">
      <alignment horizontal="center"/>
    </xf>
    <xf numFmtId="9" fontId="30" fillId="0" borderId="0" xfId="0" applyNumberFormat="1" applyFont="1"/>
    <xf numFmtId="1" fontId="28" fillId="5" borderId="7" xfId="6" applyNumberFormat="1" applyFont="1" applyFill="1" applyBorder="1" applyAlignment="1" applyProtection="1">
      <alignment horizontal="center" vertical="center"/>
      <protection locked="0"/>
    </xf>
    <xf numFmtId="0" fontId="2" fillId="0" borderId="0" xfId="2" applyFont="1" applyAlignment="1">
      <alignment horizontal="center" vertical="center"/>
    </xf>
    <xf numFmtId="0" fontId="28" fillId="5" borderId="7" xfId="0" applyFont="1" applyFill="1" applyBorder="1" applyAlignment="1" applyProtection="1">
      <alignment horizontal="center"/>
      <protection locked="0"/>
    </xf>
    <xf numFmtId="0" fontId="0" fillId="0" borderId="15" xfId="0" applyBorder="1" applyAlignment="1">
      <alignment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horizontal="center" wrapText="1"/>
    </xf>
    <xf numFmtId="0" fontId="31" fillId="0" borderId="0" xfId="0" applyFont="1" applyAlignment="1">
      <alignment vertical="center"/>
    </xf>
    <xf numFmtId="0" fontId="32" fillId="0" borderId="15" xfId="0" applyFont="1" applyBorder="1" applyAlignment="1">
      <alignment horizontal="center" vertical="center" wrapText="1"/>
    </xf>
    <xf numFmtId="0" fontId="22" fillId="7" borderId="14" xfId="0" applyFont="1" applyFill="1" applyBorder="1" applyAlignment="1">
      <alignment vertical="center" wrapText="1"/>
    </xf>
    <xf numFmtId="0" fontId="13" fillId="0" borderId="1" xfId="0" applyFont="1" applyBorder="1" applyAlignment="1">
      <alignment vertical="center"/>
    </xf>
    <xf numFmtId="0" fontId="2" fillId="0" borderId="1" xfId="0" applyFont="1" applyBorder="1" applyAlignment="1">
      <alignment vertical="center"/>
    </xf>
    <xf numFmtId="0" fontId="2" fillId="0" borderId="1" xfId="0" quotePrefix="1" applyFont="1" applyBorder="1" applyAlignment="1">
      <alignment vertical="center"/>
    </xf>
    <xf numFmtId="0" fontId="9" fillId="0" borderId="1" xfId="0" applyFont="1" applyBorder="1" applyAlignment="1">
      <alignment vertical="center"/>
    </xf>
    <xf numFmtId="0" fontId="13" fillId="7" borderId="1" xfId="0" applyFont="1" applyFill="1" applyBorder="1" applyAlignment="1">
      <alignment vertical="center"/>
    </xf>
    <xf numFmtId="0" fontId="0" fillId="0" borderId="1" xfId="0" applyBorder="1" applyAlignment="1">
      <alignment horizontal="center"/>
    </xf>
    <xf numFmtId="0" fontId="0" fillId="0" borderId="9" xfId="0" applyBorder="1"/>
    <xf numFmtId="2" fontId="22" fillId="0" borderId="9" xfId="0" applyNumberFormat="1" applyFont="1" applyBorder="1" applyAlignment="1">
      <alignment vertical="center" wrapText="1"/>
    </xf>
    <xf numFmtId="0" fontId="0" fillId="7" borderId="9" xfId="0" applyFill="1" applyBorder="1"/>
    <xf numFmtId="0" fontId="2" fillId="0" borderId="12" xfId="0" applyFont="1" applyBorder="1" applyAlignment="1">
      <alignment vertical="center"/>
    </xf>
    <xf numFmtId="0" fontId="22" fillId="7" borderId="13" xfId="0" applyFont="1" applyFill="1" applyBorder="1" applyAlignment="1">
      <alignment vertical="center" wrapText="1"/>
    </xf>
    <xf numFmtId="0" fontId="33" fillId="0" borderId="0" xfId="0" applyFont="1" applyAlignment="1">
      <alignment vertical="center"/>
    </xf>
    <xf numFmtId="0" fontId="33" fillId="0" borderId="0" xfId="5" applyFont="1" applyFill="1" applyBorder="1" applyAlignment="1" applyProtection="1">
      <alignment horizontal="left"/>
    </xf>
    <xf numFmtId="0" fontId="13" fillId="0" borderId="0" xfId="2" applyFont="1"/>
    <xf numFmtId="0" fontId="2" fillId="5" borderId="0" xfId="2" applyFont="1" applyFill="1"/>
    <xf numFmtId="0" fontId="13" fillId="5" borderId="0" xfId="2" applyFont="1" applyFill="1"/>
    <xf numFmtId="0" fontId="13" fillId="5" borderId="0" xfId="0" applyFont="1" applyFill="1"/>
    <xf numFmtId="167" fontId="22" fillId="0" borderId="0" xfId="0" applyNumberFormat="1" applyFont="1" applyAlignment="1">
      <alignment vertical="center" wrapText="1"/>
    </xf>
    <xf numFmtId="0" fontId="2" fillId="0" borderId="14" xfId="0" applyFont="1" applyBorder="1" applyAlignment="1">
      <alignment vertical="center"/>
    </xf>
    <xf numFmtId="0" fontId="23" fillId="0" borderId="14" xfId="0" applyFont="1" applyBorder="1" applyAlignment="1">
      <alignment horizontal="right" vertical="center" wrapText="1"/>
    </xf>
    <xf numFmtId="0" fontId="22" fillId="0" borderId="11" xfId="0" applyFont="1" applyBorder="1" applyAlignment="1">
      <alignment horizontal="right" vertical="center" wrapText="1"/>
    </xf>
    <xf numFmtId="0" fontId="22" fillId="0" borderId="2" xfId="0" applyFont="1" applyBorder="1" applyAlignment="1">
      <alignment horizontal="right" vertical="center" wrapText="1"/>
    </xf>
    <xf numFmtId="0" fontId="22" fillId="0" borderId="4" xfId="0" applyFont="1" applyBorder="1" applyAlignment="1">
      <alignment horizontal="right" vertical="center" wrapText="1"/>
    </xf>
    <xf numFmtId="3" fontId="22" fillId="0" borderId="11" xfId="0" applyNumberFormat="1" applyFont="1" applyBorder="1" applyAlignment="1">
      <alignment horizontal="right" vertical="center" wrapText="1"/>
    </xf>
    <xf numFmtId="3" fontId="23" fillId="0" borderId="14" xfId="0" applyNumberFormat="1" applyFont="1" applyBorder="1" applyAlignment="1">
      <alignment horizontal="right" vertical="center" wrapText="1"/>
    </xf>
    <xf numFmtId="3" fontId="22" fillId="0" borderId="14" xfId="0" applyNumberFormat="1" applyFont="1" applyBorder="1" applyAlignment="1">
      <alignment horizontal="right" vertical="center" wrapText="1"/>
    </xf>
    <xf numFmtId="0" fontId="23" fillId="0" borderId="14" xfId="0" applyFont="1" applyBorder="1" applyAlignment="1">
      <alignment vertical="center" wrapText="1"/>
    </xf>
    <xf numFmtId="0" fontId="23" fillId="7" borderId="14" xfId="0" applyFont="1" applyFill="1" applyBorder="1" applyAlignment="1">
      <alignment vertical="center" wrapText="1"/>
    </xf>
    <xf numFmtId="3" fontId="22" fillId="7" borderId="14" xfId="0" applyNumberFormat="1" applyFont="1" applyFill="1" applyBorder="1" applyAlignment="1">
      <alignment horizontal="right" vertical="center" wrapText="1"/>
    </xf>
    <xf numFmtId="3" fontId="0" fillId="0" borderId="0" xfId="0" applyNumberFormat="1"/>
    <xf numFmtId="14" fontId="2" fillId="0" borderId="0" xfId="0" applyNumberFormat="1" applyFont="1" applyAlignment="1">
      <alignment horizontal="center"/>
    </xf>
    <xf numFmtId="0" fontId="1" fillId="0" borderId="0" xfId="0" applyFont="1" applyAlignment="1">
      <alignment horizontal="center"/>
    </xf>
    <xf numFmtId="0" fontId="1" fillId="0" borderId="0" xfId="0" quotePrefix="1" applyFont="1" applyAlignment="1">
      <alignment horizontal="center"/>
    </xf>
    <xf numFmtId="0" fontId="26" fillId="0" borderId="0" xfId="0" applyFont="1" applyAlignment="1">
      <alignment horizontal="center" vertical="center" wrapText="1"/>
    </xf>
    <xf numFmtId="1" fontId="35" fillId="2" borderId="0" xfId="0" applyNumberFormat="1" applyFont="1" applyFill="1"/>
    <xf numFmtId="1" fontId="13" fillId="0" borderId="0" xfId="0" applyNumberFormat="1" applyFont="1"/>
    <xf numFmtId="0" fontId="33" fillId="0" borderId="0" xfId="2" applyFont="1"/>
    <xf numFmtId="0" fontId="33" fillId="0" borderId="0" xfId="0" applyFont="1"/>
    <xf numFmtId="0" fontId="19" fillId="0" borderId="0" xfId="0" applyFont="1"/>
    <xf numFmtId="2" fontId="0" fillId="0" borderId="0" xfId="0" applyNumberFormat="1"/>
    <xf numFmtId="0" fontId="32" fillId="0" borderId="16" xfId="0" applyFont="1" applyBorder="1" applyAlignment="1">
      <alignment horizontal="center" vertical="center" wrapText="1"/>
    </xf>
    <xf numFmtId="0" fontId="0" fillId="0" borderId="16" xfId="0" applyBorder="1" applyAlignment="1">
      <alignment vertical="center" wrapText="1"/>
    </xf>
    <xf numFmtId="0" fontId="3" fillId="0" borderId="0" xfId="0" applyFont="1" applyAlignment="1">
      <alignment horizontal="center" vertical="center" wrapText="1"/>
    </xf>
    <xf numFmtId="0" fontId="1" fillId="0" borderId="0" xfId="0" applyFont="1" applyAlignment="1">
      <alignment vertical="center" wrapText="1"/>
    </xf>
    <xf numFmtId="0" fontId="2" fillId="7" borderId="1" xfId="0" applyFont="1" applyFill="1" applyBorder="1" applyAlignment="1">
      <alignment horizontal="left" vertical="center" wrapText="1"/>
    </xf>
    <xf numFmtId="0" fontId="2" fillId="7" borderId="0" xfId="0" applyFont="1" applyFill="1" applyAlignment="1">
      <alignment horizontal="left" vertical="center" wrapText="1"/>
    </xf>
    <xf numFmtId="0" fontId="2" fillId="7" borderId="2" xfId="0" applyFont="1" applyFill="1" applyBorder="1" applyAlignment="1">
      <alignment horizontal="left" vertical="center" wrapText="1"/>
    </xf>
    <xf numFmtId="0" fontId="13" fillId="7" borderId="1" xfId="0" applyFont="1" applyFill="1" applyBorder="1" applyAlignment="1">
      <alignment horizontal="left" vertical="center" wrapText="1"/>
    </xf>
    <xf numFmtId="0" fontId="13" fillId="7" borderId="0" xfId="0" applyFont="1" applyFill="1" applyAlignment="1">
      <alignment horizontal="left" vertical="center" wrapText="1"/>
    </xf>
    <xf numFmtId="0" fontId="13" fillId="7" borderId="2" xfId="0" applyFont="1" applyFill="1" applyBorder="1" applyAlignment="1">
      <alignment horizontal="left" vertical="center" wrapText="1"/>
    </xf>
    <xf numFmtId="0" fontId="2" fillId="7" borderId="3" xfId="0" applyFont="1" applyFill="1" applyBorder="1" applyAlignment="1">
      <alignment horizontal="left" vertical="center" wrapText="1"/>
    </xf>
    <xf numFmtId="0" fontId="2" fillId="7" borderId="5" xfId="0" applyFont="1" applyFill="1" applyBorder="1" applyAlignment="1">
      <alignment horizontal="left" vertical="center" wrapText="1"/>
    </xf>
    <xf numFmtId="0" fontId="2" fillId="7" borderId="4" xfId="0" applyFont="1" applyFill="1" applyBorder="1" applyAlignment="1">
      <alignment horizontal="left" vertical="center" wrapText="1"/>
    </xf>
    <xf numFmtId="0" fontId="21" fillId="0" borderId="0" xfId="0" applyFont="1" applyAlignment="1">
      <alignment horizontal="left" wrapText="1"/>
    </xf>
    <xf numFmtId="0" fontId="2" fillId="0" borderId="0" xfId="0" applyFont="1" applyAlignment="1">
      <alignment horizontal="right" vertical="center" wrapText="1"/>
    </xf>
    <xf numFmtId="0" fontId="34" fillId="0" borderId="0" xfId="0" applyFont="1" applyAlignment="1">
      <alignment horizontal="right" vertical="center" wrapText="1"/>
    </xf>
    <xf numFmtId="14" fontId="2" fillId="0" borderId="0" xfId="0" applyNumberFormat="1" applyFont="1" applyAlignment="1">
      <alignment horizontal="right" vertical="center" wrapText="1"/>
    </xf>
    <xf numFmtId="0" fontId="2" fillId="7" borderId="9" xfId="0" applyFont="1" applyFill="1" applyBorder="1" applyAlignment="1">
      <alignment horizontal="left" vertical="top" wrapText="1"/>
    </xf>
    <xf numFmtId="0" fontId="2" fillId="7" borderId="10" xfId="0" applyFont="1" applyFill="1" applyBorder="1" applyAlignment="1">
      <alignment horizontal="left" vertical="top" wrapText="1"/>
    </xf>
    <xf numFmtId="0" fontId="2" fillId="7" borderId="11" xfId="0" applyFont="1" applyFill="1" applyBorder="1" applyAlignment="1">
      <alignment horizontal="left" vertical="top" wrapText="1"/>
    </xf>
    <xf numFmtId="0" fontId="2" fillId="7" borderId="1" xfId="0" applyFont="1" applyFill="1" applyBorder="1" applyAlignment="1">
      <alignment horizontal="left" vertical="top" wrapText="1"/>
    </xf>
    <xf numFmtId="0" fontId="2" fillId="7" borderId="0" xfId="0" applyFont="1" applyFill="1" applyAlignment="1">
      <alignment horizontal="left" vertical="top" wrapText="1"/>
    </xf>
    <xf numFmtId="0" fontId="2" fillId="7" borderId="2" xfId="0" applyFont="1" applyFill="1" applyBorder="1" applyAlignment="1">
      <alignment horizontal="left" vertical="top" wrapText="1"/>
    </xf>
    <xf numFmtId="0" fontId="25" fillId="7" borderId="1" xfId="0" applyFont="1" applyFill="1" applyBorder="1" applyAlignment="1">
      <alignment horizontal="left" vertical="center" wrapText="1"/>
    </xf>
    <xf numFmtId="0" fontId="25" fillId="7" borderId="0" xfId="0" applyFont="1" applyFill="1" applyAlignment="1">
      <alignment horizontal="left" vertical="center" wrapText="1"/>
    </xf>
    <xf numFmtId="0" fontId="25" fillId="7" borderId="2" xfId="0" applyFont="1" applyFill="1" applyBorder="1" applyAlignment="1">
      <alignment horizontal="left" vertical="center" wrapText="1"/>
    </xf>
    <xf numFmtId="0" fontId="22" fillId="7" borderId="12" xfId="0" applyFont="1" applyFill="1" applyBorder="1" applyAlignment="1">
      <alignment vertical="center" wrapText="1"/>
    </xf>
    <xf numFmtId="0" fontId="22" fillId="7" borderId="14" xfId="0" applyFont="1" applyFill="1" applyBorder="1" applyAlignment="1">
      <alignment vertical="center" wrapText="1"/>
    </xf>
    <xf numFmtId="0" fontId="13" fillId="0" borderId="12" xfId="0" applyFont="1" applyBorder="1" applyAlignment="1">
      <alignment horizontal="center" vertical="center"/>
    </xf>
    <xf numFmtId="0" fontId="13" fillId="0" borderId="14" xfId="0" applyFont="1" applyBorder="1" applyAlignment="1">
      <alignment horizontal="center" vertical="center"/>
    </xf>
    <xf numFmtId="0" fontId="13" fillId="0" borderId="13" xfId="0" applyFont="1" applyBorder="1" applyAlignment="1">
      <alignment horizontal="center" vertical="center"/>
    </xf>
    <xf numFmtId="0" fontId="23" fillId="0" borderId="13" xfId="0" applyFont="1" applyBorder="1" applyAlignment="1">
      <alignment horizontal="left" vertical="center" wrapText="1"/>
    </xf>
    <xf numFmtId="0" fontId="23" fillId="0" borderId="14" xfId="0" applyFont="1" applyBorder="1" applyAlignment="1">
      <alignment horizontal="left" vertical="center" wrapText="1"/>
    </xf>
    <xf numFmtId="0" fontId="23" fillId="7" borderId="13" xfId="0" applyFont="1" applyFill="1" applyBorder="1" applyAlignment="1">
      <alignment horizontal="left" vertical="center" wrapText="1"/>
    </xf>
    <xf numFmtId="0" fontId="23" fillId="7" borderId="14" xfId="0" applyFont="1" applyFill="1" applyBorder="1" applyAlignment="1">
      <alignment horizontal="left" vertical="center" wrapText="1"/>
    </xf>
    <xf numFmtId="0" fontId="1" fillId="0" borderId="0" xfId="0" applyFont="1" applyAlignment="1">
      <alignment horizontal="center"/>
    </xf>
  </cellXfs>
  <cellStyles count="8">
    <cellStyle name="Huono" xfId="5" builtinId="27"/>
    <cellStyle name="Hyvä" xfId="4" builtinId="26"/>
    <cellStyle name="Normaali" xfId="0" builtinId="0"/>
    <cellStyle name="Normaali 2" xfId="2" xr:uid="{00000000-0005-0000-0000-000002000000}"/>
    <cellStyle name="Prosentti 2" xfId="7" xr:uid="{00000000-0005-0000-0000-000006000000}"/>
    <cellStyle name="Prosenttia" xfId="6" builtinId="5"/>
    <cellStyle name="Prosenttia 2" xfId="3" xr:uid="{00000000-0005-0000-0000-000007000000}"/>
    <cellStyle name="Standard 10" xfId="1" xr:uid="{00000000-0005-0000-0000-000008000000}"/>
  </cellStyles>
  <dxfs count="0"/>
  <tableStyles count="0" defaultTableStyle="TableStyleMedium9" defaultPivotStyle="PivotStyleLight16"/>
  <colors>
    <mruColors>
      <color rgb="FF99FFCC"/>
      <color rgb="FFCCECFF"/>
      <color rgb="FFFFCCFF"/>
      <color rgb="FFCCFFFF"/>
      <color rgb="FF66CCFF"/>
      <color rgb="FF66FFFF"/>
      <color rgb="FF99FF66"/>
      <color rgb="FFFF99CC"/>
      <color rgb="FFFF66CC"/>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Drop" dropLines="9" dropStyle="combo" dx="16" fmlaLink="Tuet!$A$4" fmlaRange="Tuet!$A$6:$A$14" noThreeD="1" sel="3" val="0"/>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Drop" dropLines="9" dropStyle="combo" dx="16" fmlaLink="Tuet!$E$4" fmlaRange="Tuet!$A$6:$A$14" noThreeD="1" sel="3"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8</xdr:col>
      <xdr:colOff>541019</xdr:colOff>
      <xdr:row>48</xdr:row>
      <xdr:rowOff>30480</xdr:rowOff>
    </xdr:from>
    <xdr:to>
      <xdr:col>9</xdr:col>
      <xdr:colOff>350520</xdr:colOff>
      <xdr:row>51</xdr:row>
      <xdr:rowOff>139125</xdr:rowOff>
    </xdr:to>
    <xdr:pic>
      <xdr:nvPicPr>
        <xdr:cNvPr id="3" name="Kuva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59679" y="9189720"/>
          <a:ext cx="861061" cy="6801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285750</xdr:colOff>
      <xdr:row>2</xdr:row>
      <xdr:rowOff>190500</xdr:rowOff>
    </xdr:from>
    <xdr:to>
      <xdr:col>3</xdr:col>
      <xdr:colOff>851534</xdr:colOff>
      <xdr:row>5</xdr:row>
      <xdr:rowOff>47625</xdr:rowOff>
    </xdr:to>
    <xdr:sp macro="" textlink="">
      <xdr:nvSpPr>
        <xdr:cNvPr id="2" name="Rounded Rectangle 1">
          <a:extLst>
            <a:ext uri="{FF2B5EF4-FFF2-40B4-BE49-F238E27FC236}">
              <a16:creationId xmlns:a16="http://schemas.microsoft.com/office/drawing/2014/main" id="{00000000-0008-0000-0100-000002000000}"/>
            </a:ext>
          </a:extLst>
        </xdr:cNvPr>
        <xdr:cNvSpPr/>
      </xdr:nvSpPr>
      <xdr:spPr>
        <a:xfrm>
          <a:off x="3493770" y="647700"/>
          <a:ext cx="1640204" cy="542925"/>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i-FI" sz="1100"/>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3</xdr:row>
          <xdr:rowOff>0</xdr:rowOff>
        </xdr:from>
        <xdr:to>
          <xdr:col>1</xdr:col>
          <xdr:colOff>1021080</xdr:colOff>
          <xdr:row>3</xdr:row>
          <xdr:rowOff>198120</xdr:rowOff>
        </xdr:to>
        <xdr:sp macro="" textlink="">
          <xdr:nvSpPr>
            <xdr:cNvPr id="15369" name="Drop Down 9" descr="Valitse" hidden="1">
              <a:extLst>
                <a:ext uri="{63B3BB69-23CF-44E3-9099-C40C66FF867C}">
                  <a14:compatExt spid="_x0000_s15369"/>
                </a:ext>
                <a:ext uri="{FF2B5EF4-FFF2-40B4-BE49-F238E27FC236}">
                  <a16:creationId xmlns:a16="http://schemas.microsoft.com/office/drawing/2014/main" id="{00000000-0008-0000-0100-000009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6</xdr:col>
      <xdr:colOff>883920</xdr:colOff>
      <xdr:row>43</xdr:row>
      <xdr:rowOff>1905</xdr:rowOff>
    </xdr:from>
    <xdr:to>
      <xdr:col>7</xdr:col>
      <xdr:colOff>1028700</xdr:colOff>
      <xdr:row>48</xdr:row>
      <xdr:rowOff>24062</xdr:rowOff>
    </xdr:to>
    <xdr:pic>
      <xdr:nvPicPr>
        <xdr:cNvPr id="6" name="Kuva 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48800" y="9328785"/>
          <a:ext cx="1226820" cy="93655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426720</xdr:colOff>
          <xdr:row>3</xdr:row>
          <xdr:rowOff>68580</xdr:rowOff>
        </xdr:from>
        <xdr:to>
          <xdr:col>3</xdr:col>
          <xdr:colOff>716280</xdr:colOff>
          <xdr:row>4</xdr:row>
          <xdr:rowOff>160020</xdr:rowOff>
        </xdr:to>
        <xdr:sp macro="" textlink="">
          <xdr:nvSpPr>
            <xdr:cNvPr id="15391" name="Button 31" descr="Palauta oletukset" hidden="1">
              <a:extLst>
                <a:ext uri="{63B3BB69-23CF-44E3-9099-C40C66FF867C}">
                  <a14:compatExt spid="_x0000_s15391"/>
                </a:ext>
                <a:ext uri="{FF2B5EF4-FFF2-40B4-BE49-F238E27FC236}">
                  <a16:creationId xmlns:a16="http://schemas.microsoft.com/office/drawing/2014/main" id="{00000000-0008-0000-0100-00001F3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i-FI" sz="1200" b="1" i="0" u="none" strike="noStrike" baseline="0">
                  <a:solidFill>
                    <a:srgbClr val="000000"/>
                  </a:solidFill>
                  <a:latin typeface="Calibri"/>
                  <a:cs typeface="Calibri"/>
                </a:rPr>
                <a:t>Palauta oletukset</a:t>
              </a:r>
              <a:endParaRPr lang="fi-FI" sz="1000" b="1" i="0" u="none" strike="noStrike" baseline="0">
                <a:solidFill>
                  <a:srgbClr val="000000"/>
                </a:solidFill>
                <a:latin typeface="Arial"/>
                <a:cs typeface="Arial"/>
              </a:endParaRPr>
            </a:p>
            <a:p>
              <a:pPr algn="ctr" rtl="0">
                <a:defRPr sz="1000"/>
              </a:pPr>
              <a:endParaRPr lang="fi-FI" sz="1000" b="1" i="0" u="none" strike="noStrike" baseline="0">
                <a:solidFill>
                  <a:srgbClr val="000000"/>
                </a:solidFill>
                <a:latin typeface="Arial"/>
                <a:cs typeface="Arial"/>
              </a:endParaRP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xdr:row>
          <xdr:rowOff>0</xdr:rowOff>
        </xdr:from>
        <xdr:to>
          <xdr:col>5</xdr:col>
          <xdr:colOff>1021080</xdr:colOff>
          <xdr:row>3</xdr:row>
          <xdr:rowOff>198120</xdr:rowOff>
        </xdr:to>
        <xdr:sp macro="" textlink="">
          <xdr:nvSpPr>
            <xdr:cNvPr id="15392" name="Drop Down 32" descr="Valitse" hidden="1">
              <a:extLst>
                <a:ext uri="{63B3BB69-23CF-44E3-9099-C40C66FF867C}">
                  <a14:compatExt spid="_x0000_s15392"/>
                </a:ext>
                <a:ext uri="{FF2B5EF4-FFF2-40B4-BE49-F238E27FC236}">
                  <a16:creationId xmlns:a16="http://schemas.microsoft.com/office/drawing/2014/main" id="{00000000-0008-0000-0100-000020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289560</xdr:colOff>
      <xdr:row>2</xdr:row>
      <xdr:rowOff>160020</xdr:rowOff>
    </xdr:from>
    <xdr:to>
      <xdr:col>7</xdr:col>
      <xdr:colOff>855344</xdr:colOff>
      <xdr:row>5</xdr:row>
      <xdr:rowOff>17145</xdr:rowOff>
    </xdr:to>
    <xdr:sp macro="" textlink="">
      <xdr:nvSpPr>
        <xdr:cNvPr id="9" name="Rounded Rectangle 8">
          <a:extLst>
            <a:ext uri="{FF2B5EF4-FFF2-40B4-BE49-F238E27FC236}">
              <a16:creationId xmlns:a16="http://schemas.microsoft.com/office/drawing/2014/main" id="{00000000-0008-0000-0100-000009000000}"/>
            </a:ext>
          </a:extLst>
        </xdr:cNvPr>
        <xdr:cNvSpPr/>
      </xdr:nvSpPr>
      <xdr:spPr>
        <a:xfrm>
          <a:off x="8854440" y="617220"/>
          <a:ext cx="1640204" cy="542925"/>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i-FI" sz="1100"/>
        </a:p>
      </xdr:txBody>
    </xdr:sp>
    <xdr:clientData/>
  </xdr:twoCellAnchor>
  <mc:AlternateContent xmlns:mc="http://schemas.openxmlformats.org/markup-compatibility/2006">
    <mc:Choice xmlns:a14="http://schemas.microsoft.com/office/drawing/2010/main" Requires="a14">
      <xdr:twoCellAnchor editAs="oneCell">
        <xdr:from>
          <xdr:col>6</xdr:col>
          <xdr:colOff>411480</xdr:colOff>
          <xdr:row>3</xdr:row>
          <xdr:rowOff>68580</xdr:rowOff>
        </xdr:from>
        <xdr:to>
          <xdr:col>7</xdr:col>
          <xdr:colOff>693420</xdr:colOff>
          <xdr:row>4</xdr:row>
          <xdr:rowOff>160020</xdr:rowOff>
        </xdr:to>
        <xdr:sp macro="" textlink="">
          <xdr:nvSpPr>
            <xdr:cNvPr id="15393" name="Button 33" descr="Palauta oletukset" hidden="1">
              <a:extLst>
                <a:ext uri="{63B3BB69-23CF-44E3-9099-C40C66FF867C}">
                  <a14:compatExt spid="_x0000_s15393"/>
                </a:ext>
                <a:ext uri="{FF2B5EF4-FFF2-40B4-BE49-F238E27FC236}">
                  <a16:creationId xmlns:a16="http://schemas.microsoft.com/office/drawing/2014/main" id="{00000000-0008-0000-0100-0000213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i-FI" sz="1200" b="1" i="0" u="none" strike="noStrike" baseline="0">
                  <a:solidFill>
                    <a:srgbClr val="000000"/>
                  </a:solidFill>
                  <a:latin typeface="Calibri"/>
                  <a:cs typeface="Calibri"/>
                </a:rPr>
                <a:t>Palauta oletukset</a:t>
              </a:r>
              <a:endParaRPr lang="fi-FI" sz="1000" b="1" i="0" u="none" strike="noStrike" baseline="0">
                <a:solidFill>
                  <a:srgbClr val="000000"/>
                </a:solidFill>
                <a:latin typeface="Arial"/>
                <a:cs typeface="Arial"/>
              </a:endParaRPr>
            </a:p>
            <a:p>
              <a:pPr algn="ctr" rtl="0">
                <a:defRPr sz="1000"/>
              </a:pPr>
              <a:endParaRPr lang="fi-FI" sz="1000" b="1" i="0" u="none" strike="noStrike" baseline="0">
                <a:solidFill>
                  <a:srgbClr val="000000"/>
                </a:solidFill>
                <a:latin typeface="Arial"/>
                <a:cs typeface="Arial"/>
              </a:endParaRPr>
            </a:p>
          </xdr:txBody>
        </xdr:sp>
        <xdr:clientData fLocksWithSheet="0" fPrintsWithSheet="0"/>
      </xdr:twoCellAnchor>
    </mc:Choice>
    <mc:Fallback/>
  </mc:AlternateContent>
  <xdr:twoCellAnchor editAs="oneCell">
    <xdr:from>
      <xdr:col>2</xdr:col>
      <xdr:colOff>480060</xdr:colOff>
      <xdr:row>42</xdr:row>
      <xdr:rowOff>144780</xdr:rowOff>
    </xdr:from>
    <xdr:to>
      <xdr:col>3</xdr:col>
      <xdr:colOff>624840</xdr:colOff>
      <xdr:row>47</xdr:row>
      <xdr:rowOff>166937</xdr:rowOff>
    </xdr:to>
    <xdr:pic>
      <xdr:nvPicPr>
        <xdr:cNvPr id="10" name="Kuva 1">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88080" y="9288780"/>
          <a:ext cx="1226820" cy="9365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7</xdr:col>
      <xdr:colOff>401955</xdr:colOff>
      <xdr:row>38</xdr:row>
      <xdr:rowOff>149323</xdr:rowOff>
    </xdr:from>
    <xdr:ext cx="1078230" cy="865340"/>
    <xdr:pic>
      <xdr:nvPicPr>
        <xdr:cNvPr id="4" name="Kuva 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22695" y="9064723"/>
          <a:ext cx="1078230" cy="8653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2</xdr:col>
      <xdr:colOff>400050</xdr:colOff>
      <xdr:row>2</xdr:row>
      <xdr:rowOff>0</xdr:rowOff>
    </xdr:from>
    <xdr:ext cx="184731" cy="264560"/>
    <xdr:sp macro="" textlink="">
      <xdr:nvSpPr>
        <xdr:cNvPr id="5" name="Tekstiruutu 4">
          <a:extLst>
            <a:ext uri="{FF2B5EF4-FFF2-40B4-BE49-F238E27FC236}">
              <a16:creationId xmlns:a16="http://schemas.microsoft.com/office/drawing/2014/main" id="{00000000-0008-0000-0300-000005000000}"/>
            </a:ext>
          </a:extLst>
        </xdr:cNvPr>
        <xdr:cNvSpPr txBox="1"/>
      </xdr:nvSpPr>
      <xdr:spPr>
        <a:xfrm>
          <a:off x="1009650" y="466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i-FI" sz="1100"/>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8</xdr:col>
      <xdr:colOff>247650</xdr:colOff>
      <xdr:row>30</xdr:row>
      <xdr:rowOff>109459</xdr:rowOff>
    </xdr:to>
    <xdr:pic>
      <xdr:nvPicPr>
        <xdr:cNvPr id="4" name="Kuva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stretch>
          <a:fillRect/>
        </a:stretch>
      </xdr:blipFill>
      <xdr:spPr>
        <a:xfrm>
          <a:off x="609600" y="5162550"/>
          <a:ext cx="6496050" cy="38337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13</xdr:col>
      <xdr:colOff>396875</xdr:colOff>
      <xdr:row>38</xdr:row>
      <xdr:rowOff>104775</xdr:rowOff>
    </xdr:to>
    <xdr:pic>
      <xdr:nvPicPr>
        <xdr:cNvPr id="8" name="Kuva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1"/>
        <a:stretch>
          <a:fillRect/>
        </a:stretch>
      </xdr:blipFill>
      <xdr:spPr>
        <a:xfrm>
          <a:off x="609600" y="1800225"/>
          <a:ext cx="8134350" cy="4800600"/>
        </a:xfrm>
        <a:prstGeom prst="rect">
          <a:avLst/>
        </a:prstGeom>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J60"/>
  <sheetViews>
    <sheetView tabSelected="1" zoomScaleNormal="100" zoomScaleSheetLayoutView="100" workbookViewId="0">
      <selection activeCell="I3" sqref="I3:J3"/>
    </sheetView>
  </sheetViews>
  <sheetFormatPr defaultRowHeight="13.2" x14ac:dyDescent="0.25"/>
  <cols>
    <col min="1" max="1" width="3.5546875" customWidth="1"/>
    <col min="9" max="9" width="15.44140625" customWidth="1"/>
    <col min="10" max="10" width="5.88671875" customWidth="1"/>
  </cols>
  <sheetData>
    <row r="2" spans="1:10" s="37" customFormat="1" ht="18" customHeight="1" x14ac:dyDescent="0.3">
      <c r="A2" s="194" t="s">
        <v>106</v>
      </c>
      <c r="B2" s="194"/>
      <c r="C2" s="194"/>
      <c r="D2" s="194"/>
      <c r="E2" s="194"/>
      <c r="F2" s="194"/>
      <c r="G2" s="194"/>
      <c r="H2" s="194"/>
      <c r="I2" s="195" t="s">
        <v>142</v>
      </c>
      <c r="J2" s="196"/>
    </row>
    <row r="3" spans="1:10" ht="15" customHeight="1" x14ac:dyDescent="0.25">
      <c r="A3" s="194"/>
      <c r="B3" s="194"/>
      <c r="C3" s="194"/>
      <c r="D3" s="194"/>
      <c r="E3" s="194"/>
      <c r="F3" s="194"/>
      <c r="G3" s="194"/>
      <c r="H3" s="194"/>
      <c r="I3" s="197">
        <v>45036</v>
      </c>
      <c r="J3" s="195"/>
    </row>
    <row r="4" spans="1:10" ht="15" customHeight="1" x14ac:dyDescent="0.25">
      <c r="C4" s="49"/>
      <c r="D4" s="49"/>
      <c r="E4" s="49"/>
      <c r="F4" s="49"/>
      <c r="G4" s="49"/>
      <c r="H4" s="49"/>
      <c r="I4" s="49"/>
    </row>
    <row r="5" spans="1:10" ht="15" customHeight="1" x14ac:dyDescent="0.25">
      <c r="B5" s="198" t="s">
        <v>141</v>
      </c>
      <c r="C5" s="199"/>
      <c r="D5" s="199"/>
      <c r="E5" s="199"/>
      <c r="F5" s="199"/>
      <c r="G5" s="199"/>
      <c r="H5" s="199"/>
      <c r="I5" s="199"/>
      <c r="J5" s="200"/>
    </row>
    <row r="6" spans="1:10" ht="15" customHeight="1" x14ac:dyDescent="0.25">
      <c r="B6" s="201"/>
      <c r="C6" s="202"/>
      <c r="D6" s="202"/>
      <c r="E6" s="202"/>
      <c r="F6" s="202"/>
      <c r="G6" s="202"/>
      <c r="H6" s="202"/>
      <c r="I6" s="202"/>
      <c r="J6" s="203"/>
    </row>
    <row r="7" spans="1:10" ht="15" customHeight="1" x14ac:dyDescent="0.25">
      <c r="B7" s="201"/>
      <c r="C7" s="202"/>
      <c r="D7" s="202"/>
      <c r="E7" s="202"/>
      <c r="F7" s="202"/>
      <c r="G7" s="202"/>
      <c r="H7" s="202"/>
      <c r="I7" s="202"/>
      <c r="J7" s="203"/>
    </row>
    <row r="8" spans="1:10" ht="15" customHeight="1" x14ac:dyDescent="0.25">
      <c r="B8" s="201"/>
      <c r="C8" s="202"/>
      <c r="D8" s="202"/>
      <c r="E8" s="202"/>
      <c r="F8" s="202"/>
      <c r="G8" s="202"/>
      <c r="H8" s="202"/>
      <c r="I8" s="202"/>
      <c r="J8" s="203"/>
    </row>
    <row r="9" spans="1:10" ht="15" customHeight="1" x14ac:dyDescent="0.25">
      <c r="B9" s="201"/>
      <c r="C9" s="202"/>
      <c r="D9" s="202"/>
      <c r="E9" s="202"/>
      <c r="F9" s="202"/>
      <c r="G9" s="202"/>
      <c r="H9" s="202"/>
      <c r="I9" s="202"/>
      <c r="J9" s="203"/>
    </row>
    <row r="10" spans="1:10" ht="15" customHeight="1" x14ac:dyDescent="0.25">
      <c r="B10" s="188" t="s">
        <v>151</v>
      </c>
      <c r="C10" s="189"/>
      <c r="D10" s="189"/>
      <c r="E10" s="189"/>
      <c r="F10" s="189"/>
      <c r="G10" s="189"/>
      <c r="H10" s="189"/>
      <c r="I10" s="189"/>
      <c r="J10" s="190"/>
    </row>
    <row r="11" spans="1:10" ht="15" customHeight="1" x14ac:dyDescent="0.25">
      <c r="B11" s="188"/>
      <c r="C11" s="189"/>
      <c r="D11" s="189"/>
      <c r="E11" s="189"/>
      <c r="F11" s="189"/>
      <c r="G11" s="189"/>
      <c r="H11" s="189"/>
      <c r="I11" s="189"/>
      <c r="J11" s="190"/>
    </row>
    <row r="12" spans="1:10" ht="15" customHeight="1" x14ac:dyDescent="0.25">
      <c r="B12" s="188"/>
      <c r="C12" s="189"/>
      <c r="D12" s="189"/>
      <c r="E12" s="189"/>
      <c r="F12" s="189"/>
      <c r="G12" s="189"/>
      <c r="H12" s="189"/>
      <c r="I12" s="189"/>
      <c r="J12" s="190"/>
    </row>
    <row r="13" spans="1:10" ht="15" customHeight="1" x14ac:dyDescent="0.25">
      <c r="B13" s="188"/>
      <c r="C13" s="189"/>
      <c r="D13" s="189"/>
      <c r="E13" s="189"/>
      <c r="F13" s="189"/>
      <c r="G13" s="189"/>
      <c r="H13" s="189"/>
      <c r="I13" s="189"/>
      <c r="J13" s="190"/>
    </row>
    <row r="14" spans="1:10" ht="15" customHeight="1" x14ac:dyDescent="0.25">
      <c r="B14" s="188"/>
      <c r="C14" s="189"/>
      <c r="D14" s="189"/>
      <c r="E14" s="189"/>
      <c r="F14" s="189"/>
      <c r="G14" s="189"/>
      <c r="H14" s="189"/>
      <c r="I14" s="189"/>
      <c r="J14" s="190"/>
    </row>
    <row r="15" spans="1:10" ht="15" customHeight="1" x14ac:dyDescent="0.25">
      <c r="B15" s="188"/>
      <c r="C15" s="189"/>
      <c r="D15" s="189"/>
      <c r="E15" s="189"/>
      <c r="F15" s="189"/>
      <c r="G15" s="189"/>
      <c r="H15" s="189"/>
      <c r="I15" s="189"/>
      <c r="J15" s="190"/>
    </row>
    <row r="16" spans="1:10" ht="15" customHeight="1" x14ac:dyDescent="0.25">
      <c r="B16" s="188"/>
      <c r="C16" s="189"/>
      <c r="D16" s="189"/>
      <c r="E16" s="189"/>
      <c r="F16" s="189"/>
      <c r="G16" s="189"/>
      <c r="H16" s="189"/>
      <c r="I16" s="189"/>
      <c r="J16" s="190"/>
    </row>
    <row r="17" spans="2:10" ht="15" customHeight="1" x14ac:dyDescent="0.25">
      <c r="B17" s="188"/>
      <c r="C17" s="189"/>
      <c r="D17" s="189"/>
      <c r="E17" s="189"/>
      <c r="F17" s="189"/>
      <c r="G17" s="189"/>
      <c r="H17" s="189"/>
      <c r="I17" s="189"/>
      <c r="J17" s="190"/>
    </row>
    <row r="18" spans="2:10" ht="15" customHeight="1" x14ac:dyDescent="0.25">
      <c r="B18" s="188"/>
      <c r="C18" s="189"/>
      <c r="D18" s="189"/>
      <c r="E18" s="189"/>
      <c r="F18" s="189"/>
      <c r="G18" s="189"/>
      <c r="H18" s="189"/>
      <c r="I18" s="189"/>
      <c r="J18" s="190"/>
    </row>
    <row r="19" spans="2:10" ht="15" customHeight="1" x14ac:dyDescent="0.25">
      <c r="B19" s="188"/>
      <c r="C19" s="189"/>
      <c r="D19" s="189"/>
      <c r="E19" s="189"/>
      <c r="F19" s="189"/>
      <c r="G19" s="189"/>
      <c r="H19" s="189"/>
      <c r="I19" s="189"/>
      <c r="J19" s="190"/>
    </row>
    <row r="20" spans="2:10" ht="15" customHeight="1" x14ac:dyDescent="0.25">
      <c r="B20" s="188"/>
      <c r="C20" s="189"/>
      <c r="D20" s="189"/>
      <c r="E20" s="189"/>
      <c r="F20" s="189"/>
      <c r="G20" s="189"/>
      <c r="H20" s="189"/>
      <c r="I20" s="189"/>
      <c r="J20" s="190"/>
    </row>
    <row r="21" spans="2:10" ht="15" customHeight="1" x14ac:dyDescent="0.25">
      <c r="B21" s="188"/>
      <c r="C21" s="189"/>
      <c r="D21" s="189"/>
      <c r="E21" s="189"/>
      <c r="F21" s="189"/>
      <c r="G21" s="189"/>
      <c r="H21" s="189"/>
      <c r="I21" s="189"/>
      <c r="J21" s="190"/>
    </row>
    <row r="22" spans="2:10" ht="15" customHeight="1" x14ac:dyDescent="0.25">
      <c r="B22" s="188"/>
      <c r="C22" s="189"/>
      <c r="D22" s="189"/>
      <c r="E22" s="189"/>
      <c r="F22" s="189"/>
      <c r="G22" s="189"/>
      <c r="H22" s="189"/>
      <c r="I22" s="189"/>
      <c r="J22" s="190"/>
    </row>
    <row r="23" spans="2:10" ht="15" customHeight="1" x14ac:dyDescent="0.25">
      <c r="B23" s="188"/>
      <c r="C23" s="189"/>
      <c r="D23" s="189"/>
      <c r="E23" s="189"/>
      <c r="F23" s="189"/>
      <c r="G23" s="189"/>
      <c r="H23" s="189"/>
      <c r="I23" s="189"/>
      <c r="J23" s="190"/>
    </row>
    <row r="24" spans="2:10" ht="15" customHeight="1" x14ac:dyDescent="0.25">
      <c r="B24" s="185" t="s">
        <v>143</v>
      </c>
      <c r="C24" s="186"/>
      <c r="D24" s="186"/>
      <c r="E24" s="186"/>
      <c r="F24" s="186"/>
      <c r="G24" s="186"/>
      <c r="H24" s="186"/>
      <c r="I24" s="186"/>
      <c r="J24" s="187"/>
    </row>
    <row r="25" spans="2:10" ht="15" customHeight="1" x14ac:dyDescent="0.25">
      <c r="B25" s="185"/>
      <c r="C25" s="186"/>
      <c r="D25" s="186"/>
      <c r="E25" s="186"/>
      <c r="F25" s="186"/>
      <c r="G25" s="186"/>
      <c r="H25" s="186"/>
      <c r="I25" s="186"/>
      <c r="J25" s="187"/>
    </row>
    <row r="26" spans="2:10" ht="15" customHeight="1" x14ac:dyDescent="0.25">
      <c r="B26" s="185"/>
      <c r="C26" s="186"/>
      <c r="D26" s="186"/>
      <c r="E26" s="186"/>
      <c r="F26" s="186"/>
      <c r="G26" s="186"/>
      <c r="H26" s="186"/>
      <c r="I26" s="186"/>
      <c r="J26" s="187"/>
    </row>
    <row r="27" spans="2:10" ht="15" customHeight="1" x14ac:dyDescent="0.25">
      <c r="B27" s="185"/>
      <c r="C27" s="186"/>
      <c r="D27" s="186"/>
      <c r="E27" s="186"/>
      <c r="F27" s="186"/>
      <c r="G27" s="186"/>
      <c r="H27" s="186"/>
      <c r="I27" s="186"/>
      <c r="J27" s="187"/>
    </row>
    <row r="28" spans="2:10" ht="15" customHeight="1" x14ac:dyDescent="0.25">
      <c r="B28" s="185"/>
      <c r="C28" s="186"/>
      <c r="D28" s="186"/>
      <c r="E28" s="186"/>
      <c r="F28" s="186"/>
      <c r="G28" s="186"/>
      <c r="H28" s="186"/>
      <c r="I28" s="186"/>
      <c r="J28" s="187"/>
    </row>
    <row r="29" spans="2:10" ht="15" customHeight="1" x14ac:dyDescent="0.25">
      <c r="B29" s="185"/>
      <c r="C29" s="186"/>
      <c r="D29" s="186"/>
      <c r="E29" s="186"/>
      <c r="F29" s="186"/>
      <c r="G29" s="186"/>
      <c r="H29" s="186"/>
      <c r="I29" s="186"/>
      <c r="J29" s="187"/>
    </row>
    <row r="30" spans="2:10" ht="15" customHeight="1" x14ac:dyDescent="0.25">
      <c r="B30" s="185"/>
      <c r="C30" s="186"/>
      <c r="D30" s="186"/>
      <c r="E30" s="186"/>
      <c r="F30" s="186"/>
      <c r="G30" s="186"/>
      <c r="H30" s="186"/>
      <c r="I30" s="186"/>
      <c r="J30" s="187"/>
    </row>
    <row r="31" spans="2:10" ht="15" customHeight="1" x14ac:dyDescent="0.25">
      <c r="B31" s="185"/>
      <c r="C31" s="186"/>
      <c r="D31" s="186"/>
      <c r="E31" s="186"/>
      <c r="F31" s="186"/>
      <c r="G31" s="186"/>
      <c r="H31" s="186"/>
      <c r="I31" s="186"/>
      <c r="J31" s="187"/>
    </row>
    <row r="32" spans="2:10" ht="15" customHeight="1" x14ac:dyDescent="0.25">
      <c r="B32" s="204" t="s">
        <v>146</v>
      </c>
      <c r="C32" s="205"/>
      <c r="D32" s="205"/>
      <c r="E32" s="205"/>
      <c r="F32" s="205"/>
      <c r="G32" s="205"/>
      <c r="H32" s="205"/>
      <c r="I32" s="205"/>
      <c r="J32" s="206"/>
    </row>
    <row r="33" spans="2:10" ht="15" customHeight="1" x14ac:dyDescent="0.25">
      <c r="B33" s="204"/>
      <c r="C33" s="205"/>
      <c r="D33" s="205"/>
      <c r="E33" s="205"/>
      <c r="F33" s="205"/>
      <c r="G33" s="205"/>
      <c r="H33" s="205"/>
      <c r="I33" s="205"/>
      <c r="J33" s="206"/>
    </row>
    <row r="34" spans="2:10" ht="15" customHeight="1" x14ac:dyDescent="0.25">
      <c r="B34" s="204"/>
      <c r="C34" s="205"/>
      <c r="D34" s="205"/>
      <c r="E34" s="205"/>
      <c r="F34" s="205"/>
      <c r="G34" s="205"/>
      <c r="H34" s="205"/>
      <c r="I34" s="205"/>
      <c r="J34" s="206"/>
    </row>
    <row r="35" spans="2:10" ht="15" customHeight="1" x14ac:dyDescent="0.25">
      <c r="B35" s="204"/>
      <c r="C35" s="205"/>
      <c r="D35" s="205"/>
      <c r="E35" s="205"/>
      <c r="F35" s="205"/>
      <c r="G35" s="205"/>
      <c r="H35" s="205"/>
      <c r="I35" s="205"/>
      <c r="J35" s="206"/>
    </row>
    <row r="36" spans="2:10" ht="15" customHeight="1" x14ac:dyDescent="0.25">
      <c r="B36" s="204"/>
      <c r="C36" s="205"/>
      <c r="D36" s="205"/>
      <c r="E36" s="205"/>
      <c r="F36" s="205"/>
      <c r="G36" s="205"/>
      <c r="H36" s="205"/>
      <c r="I36" s="205"/>
      <c r="J36" s="206"/>
    </row>
    <row r="37" spans="2:10" ht="15" customHeight="1" x14ac:dyDescent="0.25">
      <c r="B37" s="204"/>
      <c r="C37" s="205"/>
      <c r="D37" s="205"/>
      <c r="E37" s="205"/>
      <c r="F37" s="205"/>
      <c r="G37" s="205"/>
      <c r="H37" s="205"/>
      <c r="I37" s="205"/>
      <c r="J37" s="206"/>
    </row>
    <row r="38" spans="2:10" ht="15" customHeight="1" x14ac:dyDescent="0.25">
      <c r="B38" s="204"/>
      <c r="C38" s="205"/>
      <c r="D38" s="205"/>
      <c r="E38" s="205"/>
      <c r="F38" s="205"/>
      <c r="G38" s="205"/>
      <c r="H38" s="205"/>
      <c r="I38" s="205"/>
      <c r="J38" s="206"/>
    </row>
    <row r="39" spans="2:10" ht="15" customHeight="1" x14ac:dyDescent="0.25">
      <c r="B39" s="185" t="s">
        <v>105</v>
      </c>
      <c r="C39" s="186"/>
      <c r="D39" s="186"/>
      <c r="E39" s="186"/>
      <c r="F39" s="186"/>
      <c r="G39" s="186"/>
      <c r="H39" s="186"/>
      <c r="I39" s="186"/>
      <c r="J39" s="187"/>
    </row>
    <row r="40" spans="2:10" ht="15" customHeight="1" x14ac:dyDescent="0.25">
      <c r="B40" s="185"/>
      <c r="C40" s="186"/>
      <c r="D40" s="186"/>
      <c r="E40" s="186"/>
      <c r="F40" s="186"/>
      <c r="G40" s="186"/>
      <c r="H40" s="186"/>
      <c r="I40" s="186"/>
      <c r="J40" s="187"/>
    </row>
    <row r="41" spans="2:10" ht="15" customHeight="1" x14ac:dyDescent="0.25">
      <c r="B41" s="185"/>
      <c r="C41" s="186"/>
      <c r="D41" s="186"/>
      <c r="E41" s="186"/>
      <c r="F41" s="186"/>
      <c r="G41" s="186"/>
      <c r="H41" s="186"/>
      <c r="I41" s="186"/>
      <c r="J41" s="187"/>
    </row>
    <row r="42" spans="2:10" ht="15" customHeight="1" x14ac:dyDescent="0.25">
      <c r="B42" s="185"/>
      <c r="C42" s="186"/>
      <c r="D42" s="186"/>
      <c r="E42" s="186"/>
      <c r="F42" s="186"/>
      <c r="G42" s="186"/>
      <c r="H42" s="186"/>
      <c r="I42" s="186"/>
      <c r="J42" s="187"/>
    </row>
    <row r="43" spans="2:10" ht="15" customHeight="1" x14ac:dyDescent="0.25">
      <c r="B43" s="185" t="s">
        <v>114</v>
      </c>
      <c r="C43" s="186"/>
      <c r="D43" s="186"/>
      <c r="E43" s="186"/>
      <c r="F43" s="186"/>
      <c r="G43" s="186"/>
      <c r="H43" s="186"/>
      <c r="I43" s="186"/>
      <c r="J43" s="187"/>
    </row>
    <row r="44" spans="2:10" ht="15" customHeight="1" x14ac:dyDescent="0.25">
      <c r="B44" s="185"/>
      <c r="C44" s="186"/>
      <c r="D44" s="186"/>
      <c r="E44" s="186"/>
      <c r="F44" s="186"/>
      <c r="G44" s="186"/>
      <c r="H44" s="186"/>
      <c r="I44" s="186"/>
      <c r="J44" s="187"/>
    </row>
    <row r="45" spans="2:10" ht="15" customHeight="1" x14ac:dyDescent="0.25">
      <c r="B45" s="185"/>
      <c r="C45" s="186"/>
      <c r="D45" s="186"/>
      <c r="E45" s="186"/>
      <c r="F45" s="186"/>
      <c r="G45" s="186"/>
      <c r="H45" s="186"/>
      <c r="I45" s="186"/>
      <c r="J45" s="187"/>
    </row>
    <row r="46" spans="2:10" ht="15" customHeight="1" x14ac:dyDescent="0.25">
      <c r="B46" s="185"/>
      <c r="C46" s="186"/>
      <c r="D46" s="186"/>
      <c r="E46" s="186"/>
      <c r="F46" s="186"/>
      <c r="G46" s="186"/>
      <c r="H46" s="186"/>
      <c r="I46" s="186"/>
      <c r="J46" s="187"/>
    </row>
    <row r="47" spans="2:10" ht="15" customHeight="1" x14ac:dyDescent="0.25">
      <c r="B47" s="185"/>
      <c r="C47" s="186"/>
      <c r="D47" s="186"/>
      <c r="E47" s="186"/>
      <c r="F47" s="186"/>
      <c r="G47" s="186"/>
      <c r="H47" s="186"/>
      <c r="I47" s="186"/>
      <c r="J47" s="187"/>
    </row>
    <row r="48" spans="2:10" ht="15" customHeight="1" x14ac:dyDescent="0.25">
      <c r="B48" s="191"/>
      <c r="C48" s="192"/>
      <c r="D48" s="192"/>
      <c r="E48" s="192"/>
      <c r="F48" s="192"/>
      <c r="G48" s="192"/>
      <c r="H48" s="192"/>
      <c r="I48" s="192"/>
      <c r="J48" s="193"/>
    </row>
    <row r="49" spans="2:2" ht="15" customHeight="1" x14ac:dyDescent="0.25"/>
    <row r="50" spans="2:2" ht="15" customHeight="1" x14ac:dyDescent="0.25"/>
    <row r="51" spans="2:2" ht="15" customHeight="1" x14ac:dyDescent="0.3">
      <c r="B51" s="8"/>
    </row>
    <row r="52" spans="2:2" ht="15" customHeight="1" x14ac:dyDescent="0.25"/>
    <row r="53" spans="2:2" ht="15" customHeight="1" x14ac:dyDescent="0.25"/>
    <row r="54" spans="2:2" ht="15" customHeight="1" x14ac:dyDescent="0.25"/>
    <row r="55" spans="2:2" ht="15" customHeight="1" x14ac:dyDescent="0.25"/>
    <row r="56" spans="2:2" ht="15" customHeight="1" x14ac:dyDescent="0.25"/>
    <row r="57" spans="2:2" ht="15" customHeight="1" x14ac:dyDescent="0.25"/>
    <row r="58" spans="2:2" ht="15" customHeight="1" x14ac:dyDescent="0.25"/>
    <row r="59" spans="2:2" ht="15" customHeight="1" x14ac:dyDescent="0.25"/>
    <row r="60" spans="2:2" ht="15" customHeight="1" x14ac:dyDescent="0.25"/>
  </sheetData>
  <sheetProtection algorithmName="SHA-512" hashValue="Du+F+sMN3JfXG84hzC1+/fxOgEQ49baQXeD4NRdetUsNNKfQE8avR1EcUdxWrdcXBIqN85m+eL7H3fuba1L8vA==" saltValue="WSBHiothMWllOmumilfdWg==" spinCount="100000" sheet="1" objects="1" scenarios="1"/>
  <mergeCells count="9">
    <mergeCell ref="B39:J42"/>
    <mergeCell ref="B10:J23"/>
    <mergeCell ref="B43:J48"/>
    <mergeCell ref="B24:J31"/>
    <mergeCell ref="A2:H3"/>
    <mergeCell ref="I2:J2"/>
    <mergeCell ref="I3:J3"/>
    <mergeCell ref="B5:J9"/>
    <mergeCell ref="B32:J38"/>
  </mergeCells>
  <pageMargins left="0.7" right="0.7" top="0.75" bottom="0.75" header="0.3" footer="0.3"/>
  <pageSetup paperSize="9" scale="99" orientation="portrait" r:id="rId1"/>
  <headerFooter>
    <oddHeader xml:space="preserve">&amp;Cwww.luke.fi/poikimavali
</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ul4"/>
  <dimension ref="A1:K35"/>
  <sheetViews>
    <sheetView zoomScaleNormal="100" zoomScaleSheetLayoutView="100" workbookViewId="0">
      <selection activeCell="C2" sqref="C2"/>
    </sheetView>
  </sheetViews>
  <sheetFormatPr defaultRowHeight="14.4" x14ac:dyDescent="0.3"/>
  <cols>
    <col min="1" max="1" width="45.88671875" style="15" customWidth="1"/>
    <col min="2" max="3" width="15.88671875" customWidth="1"/>
    <col min="4" max="4" width="15.88671875" style="121" customWidth="1"/>
    <col min="5" max="5" width="45.88671875" style="146" customWidth="1"/>
    <col min="6" max="8" width="15.88671875" customWidth="1"/>
    <col min="9" max="17" width="9.109375"/>
  </cols>
  <sheetData>
    <row r="1" spans="1:8" s="11" customFormat="1" ht="18" customHeight="1" x14ac:dyDescent="0.35">
      <c r="A1" s="107" t="s">
        <v>112</v>
      </c>
      <c r="B1" s="10"/>
      <c r="D1" s="12"/>
      <c r="E1" s="107" t="s">
        <v>112</v>
      </c>
    </row>
    <row r="2" spans="1:8" ht="18" customHeight="1" x14ac:dyDescent="0.3">
      <c r="A2" s="152" t="s">
        <v>139</v>
      </c>
      <c r="B2" s="7"/>
      <c r="C2" s="7"/>
      <c r="D2" s="8"/>
      <c r="E2" s="153" t="s">
        <v>140</v>
      </c>
      <c r="F2" s="112"/>
    </row>
    <row r="3" spans="1:8" ht="18" customHeight="1" x14ac:dyDescent="0.3">
      <c r="A3" s="108" t="s">
        <v>85</v>
      </c>
      <c r="B3" s="111"/>
      <c r="C3" s="7"/>
      <c r="D3" s="8"/>
      <c r="E3" s="141" t="s">
        <v>85</v>
      </c>
      <c r="F3" s="111"/>
      <c r="G3" s="7"/>
      <c r="H3" s="8"/>
    </row>
    <row r="4" spans="1:8" ht="18" customHeight="1" x14ac:dyDescent="0.3">
      <c r="A4" s="25" t="s">
        <v>5</v>
      </c>
      <c r="B4" s="122"/>
      <c r="C4" s="7"/>
      <c r="D4" s="8"/>
      <c r="E4" s="142" t="s">
        <v>5</v>
      </c>
      <c r="F4" s="122"/>
      <c r="G4" s="7"/>
      <c r="H4" s="8"/>
    </row>
    <row r="5" spans="1:8" ht="18" customHeight="1" x14ac:dyDescent="0.3">
      <c r="A5" s="25" t="s">
        <v>61</v>
      </c>
      <c r="B5" s="104">
        <v>71</v>
      </c>
      <c r="C5" s="7"/>
      <c r="D5" s="8"/>
      <c r="E5" s="142" t="s">
        <v>61</v>
      </c>
      <c r="F5" s="104">
        <v>71</v>
      </c>
      <c r="G5" s="7"/>
      <c r="H5" s="8"/>
    </row>
    <row r="6" spans="1:8" ht="18" customHeight="1" x14ac:dyDescent="0.3">
      <c r="A6" s="25"/>
      <c r="B6" s="113"/>
      <c r="C6" s="114"/>
      <c r="D6" s="23"/>
      <c r="E6" s="142"/>
      <c r="F6" s="113"/>
      <c r="G6" s="114"/>
      <c r="H6" s="23"/>
    </row>
    <row r="7" spans="1:8" ht="18" customHeight="1" x14ac:dyDescent="0.3">
      <c r="A7" s="108" t="s">
        <v>113</v>
      </c>
      <c r="B7" s="115" t="s">
        <v>71</v>
      </c>
      <c r="C7" s="115" t="s">
        <v>36</v>
      </c>
      <c r="D7" s="115" t="s">
        <v>64</v>
      </c>
      <c r="E7" s="141" t="s">
        <v>113</v>
      </c>
      <c r="F7" s="115" t="s">
        <v>71</v>
      </c>
      <c r="G7" s="115" t="s">
        <v>36</v>
      </c>
      <c r="H7" s="115" t="s">
        <v>64</v>
      </c>
    </row>
    <row r="8" spans="1:8" ht="18" customHeight="1" x14ac:dyDescent="0.3">
      <c r="A8" s="25"/>
      <c r="B8" s="7"/>
      <c r="C8" s="7"/>
      <c r="D8" s="9"/>
      <c r="E8" s="142"/>
      <c r="F8" s="7"/>
      <c r="G8" s="7"/>
      <c r="H8" s="9"/>
    </row>
    <row r="9" spans="1:8" ht="18" customHeight="1" x14ac:dyDescent="0.25">
      <c r="A9" s="25" t="s">
        <v>150</v>
      </c>
      <c r="B9" s="124"/>
      <c r="C9" s="125">
        <v>0.36299999999999999</v>
      </c>
      <c r="D9" s="105" t="s">
        <v>54</v>
      </c>
      <c r="E9" s="142" t="s">
        <v>150</v>
      </c>
      <c r="F9" s="124"/>
      <c r="G9" s="125">
        <v>0.36299999999999999</v>
      </c>
      <c r="H9" s="105" t="s">
        <v>54</v>
      </c>
    </row>
    <row r="10" spans="1:8" ht="18" customHeight="1" x14ac:dyDescent="0.3">
      <c r="A10" s="25" t="s">
        <v>89</v>
      </c>
      <c r="B10" s="126">
        <v>10200</v>
      </c>
      <c r="C10" s="127"/>
      <c r="D10" s="105" t="s">
        <v>88</v>
      </c>
      <c r="E10" s="142" t="s">
        <v>89</v>
      </c>
      <c r="F10" s="126">
        <v>9800</v>
      </c>
      <c r="G10" s="127"/>
      <c r="H10" s="105" t="s">
        <v>88</v>
      </c>
    </row>
    <row r="11" spans="1:8" ht="18" customHeight="1" x14ac:dyDescent="0.3">
      <c r="A11" s="109" t="s">
        <v>100</v>
      </c>
      <c r="B11" s="123">
        <v>4.4000000000000004</v>
      </c>
      <c r="C11" s="133">
        <v>0.37</v>
      </c>
      <c r="D11" s="106" t="s">
        <v>118</v>
      </c>
      <c r="E11" s="143" t="s">
        <v>100</v>
      </c>
      <c r="F11" s="123">
        <v>4.4000000000000004</v>
      </c>
      <c r="G11" s="133">
        <v>0.37</v>
      </c>
      <c r="H11" s="106" t="s">
        <v>118</v>
      </c>
    </row>
    <row r="12" spans="1:8" ht="18" customHeight="1" x14ac:dyDescent="0.3">
      <c r="A12" s="109" t="s">
        <v>101</v>
      </c>
      <c r="B12" s="123">
        <v>3.6</v>
      </c>
      <c r="C12" s="133">
        <v>0.65</v>
      </c>
      <c r="D12" s="105" t="s">
        <v>118</v>
      </c>
      <c r="E12" s="143" t="s">
        <v>101</v>
      </c>
      <c r="F12" s="123">
        <v>3.6</v>
      </c>
      <c r="G12" s="133">
        <v>0.65</v>
      </c>
      <c r="H12" s="105" t="s">
        <v>118</v>
      </c>
    </row>
    <row r="13" spans="1:8" ht="18" customHeight="1" x14ac:dyDescent="0.25">
      <c r="A13" s="109" t="s">
        <v>119</v>
      </c>
      <c r="B13" s="128">
        <f>'Lähtötiedot ja kate'!$B$10*(383*'Lähtötiedot ja kate'!$B$11+242*'Lähtötiedot ja kate'!$B$12+783.2)/3140/(B19-B20)</f>
        <v>31.627936342871998</v>
      </c>
      <c r="C13" s="124"/>
      <c r="D13" s="132" t="s">
        <v>108</v>
      </c>
      <c r="E13" s="143" t="s">
        <v>119</v>
      </c>
      <c r="F13" s="128">
        <f>'Lähtötiedot ja kate'!$F$10*(383*'Lähtötiedot ja kate'!$F$11+242*'Lähtötiedot ja kate'!$F$12+783.2)/3140/(F19-F20)</f>
        <v>31.300166408446668</v>
      </c>
      <c r="G13" s="124"/>
      <c r="H13" s="132" t="s">
        <v>108</v>
      </c>
    </row>
    <row r="14" spans="1:8" ht="18" customHeight="1" x14ac:dyDescent="0.25">
      <c r="A14" s="25" t="s">
        <v>66</v>
      </c>
      <c r="B14" s="124"/>
      <c r="C14" s="125">
        <v>2.5</v>
      </c>
      <c r="D14" s="105" t="s">
        <v>60</v>
      </c>
      <c r="E14" s="142" t="s">
        <v>66</v>
      </c>
      <c r="F14" s="124"/>
      <c r="G14" s="125">
        <v>2.5</v>
      </c>
      <c r="H14" s="105" t="s">
        <v>60</v>
      </c>
    </row>
    <row r="15" spans="1:8" ht="18" customHeight="1" x14ac:dyDescent="0.25">
      <c r="A15" s="25" t="s">
        <v>69</v>
      </c>
      <c r="B15" s="124"/>
      <c r="C15" s="126">
        <v>105</v>
      </c>
      <c r="D15" s="105" t="s">
        <v>68</v>
      </c>
      <c r="E15" s="142" t="s">
        <v>69</v>
      </c>
      <c r="F15" s="124"/>
      <c r="G15" s="126">
        <v>105</v>
      </c>
      <c r="H15" s="105" t="s">
        <v>68</v>
      </c>
    </row>
    <row r="16" spans="1:8" ht="18" customHeight="1" x14ac:dyDescent="0.25">
      <c r="A16" s="25" t="s">
        <v>67</v>
      </c>
      <c r="B16" s="124"/>
      <c r="C16" s="126">
        <v>170</v>
      </c>
      <c r="D16" s="105" t="s">
        <v>68</v>
      </c>
      <c r="E16" s="142" t="s">
        <v>67</v>
      </c>
      <c r="F16" s="124"/>
      <c r="G16" s="126">
        <v>170</v>
      </c>
      <c r="H16" s="105" t="s">
        <v>68</v>
      </c>
    </row>
    <row r="17" spans="1:11" ht="18" customHeight="1" x14ac:dyDescent="0.25">
      <c r="A17" s="25" t="s">
        <v>6</v>
      </c>
      <c r="B17" s="126">
        <v>0</v>
      </c>
      <c r="C17" s="126">
        <v>420</v>
      </c>
      <c r="D17" s="105" t="s">
        <v>65</v>
      </c>
      <c r="E17" s="142" t="s">
        <v>6</v>
      </c>
      <c r="F17" s="126">
        <v>0</v>
      </c>
      <c r="G17" s="126">
        <v>420</v>
      </c>
      <c r="H17" s="105" t="s">
        <v>65</v>
      </c>
      <c r="K17" s="116"/>
    </row>
    <row r="18" spans="1:11" ht="18" customHeight="1" x14ac:dyDescent="0.25">
      <c r="A18" s="25"/>
      <c r="B18" s="129"/>
      <c r="C18" s="124"/>
      <c r="D18" s="105"/>
      <c r="E18" s="142"/>
      <c r="F18" s="129"/>
      <c r="G18" s="124"/>
      <c r="H18" s="105"/>
    </row>
    <row r="19" spans="1:11" ht="18" customHeight="1" x14ac:dyDescent="0.25">
      <c r="A19" s="25" t="s">
        <v>9</v>
      </c>
      <c r="B19" s="126">
        <v>403</v>
      </c>
      <c r="C19" s="124"/>
      <c r="D19" s="105"/>
      <c r="E19" s="142" t="s">
        <v>9</v>
      </c>
      <c r="F19" s="126">
        <v>393</v>
      </c>
      <c r="G19" s="124"/>
      <c r="H19" s="105"/>
    </row>
    <row r="20" spans="1:11" ht="18" customHeight="1" x14ac:dyDescent="0.25">
      <c r="A20" s="25" t="s">
        <v>83</v>
      </c>
      <c r="B20" s="126">
        <v>60</v>
      </c>
      <c r="C20" s="124"/>
      <c r="D20" s="105"/>
      <c r="E20" s="142" t="s">
        <v>83</v>
      </c>
      <c r="F20" s="126">
        <v>60</v>
      </c>
      <c r="G20" s="124"/>
      <c r="H20" s="105"/>
    </row>
    <row r="21" spans="1:11" ht="18" customHeight="1" x14ac:dyDescent="0.25">
      <c r="A21" s="25" t="s">
        <v>10</v>
      </c>
      <c r="B21" s="126">
        <v>31</v>
      </c>
      <c r="C21" s="124"/>
      <c r="D21" s="105"/>
      <c r="E21" s="142" t="s">
        <v>10</v>
      </c>
      <c r="F21" s="126">
        <v>30</v>
      </c>
      <c r="G21" s="124"/>
      <c r="H21" s="105"/>
    </row>
    <row r="22" spans="1:11" ht="18" customHeight="1" x14ac:dyDescent="0.25">
      <c r="A22" s="25" t="s">
        <v>32</v>
      </c>
      <c r="B22" s="126">
        <v>8</v>
      </c>
      <c r="C22" s="124"/>
      <c r="D22" s="105"/>
      <c r="E22" s="142" t="s">
        <v>32</v>
      </c>
      <c r="F22" s="126">
        <v>6</v>
      </c>
      <c r="G22" s="124"/>
      <c r="H22" s="105"/>
    </row>
    <row r="23" spans="1:11" ht="18" customHeight="1" x14ac:dyDescent="0.25">
      <c r="A23" s="25" t="s">
        <v>8</v>
      </c>
      <c r="B23" s="126">
        <v>775</v>
      </c>
      <c r="C23" s="124"/>
      <c r="D23" s="105"/>
      <c r="E23" s="142" t="s">
        <v>8</v>
      </c>
      <c r="F23" s="126">
        <v>750</v>
      </c>
      <c r="G23" s="124"/>
      <c r="H23" s="105"/>
    </row>
    <row r="24" spans="1:11" ht="18" customHeight="1" x14ac:dyDescent="0.25">
      <c r="A24" s="25" t="s">
        <v>33</v>
      </c>
      <c r="B24" s="123">
        <v>1.9</v>
      </c>
      <c r="C24" s="126">
        <v>48</v>
      </c>
      <c r="D24" s="105" t="s">
        <v>70</v>
      </c>
      <c r="E24" s="142" t="s">
        <v>33</v>
      </c>
      <c r="F24" s="123">
        <v>1.8</v>
      </c>
      <c r="G24" s="126">
        <v>48</v>
      </c>
      <c r="H24" s="105" t="s">
        <v>70</v>
      </c>
    </row>
    <row r="25" spans="1:11" ht="18" customHeight="1" x14ac:dyDescent="0.25">
      <c r="A25" s="25"/>
      <c r="B25" s="129"/>
      <c r="C25" s="129"/>
      <c r="D25" s="105"/>
      <c r="E25" s="142"/>
      <c r="F25" s="129"/>
      <c r="G25" s="129"/>
      <c r="H25" s="105"/>
    </row>
    <row r="26" spans="1:11" ht="18" customHeight="1" x14ac:dyDescent="0.25">
      <c r="A26" s="25" t="s">
        <v>2</v>
      </c>
      <c r="B26" s="124"/>
      <c r="C26" s="126">
        <v>65</v>
      </c>
      <c r="D26" s="105" t="s">
        <v>77</v>
      </c>
      <c r="E26" s="142" t="s">
        <v>2</v>
      </c>
      <c r="F26" s="124"/>
      <c r="G26" s="126">
        <v>65</v>
      </c>
      <c r="H26" s="105" t="s">
        <v>77</v>
      </c>
    </row>
    <row r="27" spans="1:11" ht="18" customHeight="1" x14ac:dyDescent="0.25">
      <c r="A27" s="25" t="s">
        <v>78</v>
      </c>
      <c r="B27" s="124"/>
      <c r="C27" s="126">
        <v>320</v>
      </c>
      <c r="D27" s="105" t="s">
        <v>77</v>
      </c>
      <c r="E27" s="142" t="s">
        <v>78</v>
      </c>
      <c r="F27" s="124"/>
      <c r="G27" s="126">
        <v>320</v>
      </c>
      <c r="H27" s="105" t="s">
        <v>77</v>
      </c>
    </row>
    <row r="28" spans="1:11" ht="18" customHeight="1" x14ac:dyDescent="0.25">
      <c r="A28" s="25" t="s">
        <v>72</v>
      </c>
      <c r="B28" s="124"/>
      <c r="C28" s="125">
        <v>2.2000000000000002</v>
      </c>
      <c r="D28" s="105" t="s">
        <v>38</v>
      </c>
      <c r="E28" s="142" t="s">
        <v>72</v>
      </c>
      <c r="F28" s="124"/>
      <c r="G28" s="125">
        <v>2.2000000000000002</v>
      </c>
      <c r="H28" s="105" t="s">
        <v>38</v>
      </c>
    </row>
    <row r="29" spans="1:11" ht="18" customHeight="1" x14ac:dyDescent="0.25">
      <c r="A29" s="109" t="s">
        <v>98</v>
      </c>
      <c r="B29" s="124"/>
      <c r="C29" s="125">
        <v>0.2</v>
      </c>
      <c r="D29" s="105" t="s">
        <v>59</v>
      </c>
      <c r="E29" s="143" t="s">
        <v>98</v>
      </c>
      <c r="F29" s="124"/>
      <c r="G29" s="125">
        <v>0.2</v>
      </c>
      <c r="H29" s="105" t="s">
        <v>59</v>
      </c>
    </row>
    <row r="30" spans="1:11" ht="18" customHeight="1" x14ac:dyDescent="0.25">
      <c r="A30" s="25" t="s">
        <v>7</v>
      </c>
      <c r="B30" s="124"/>
      <c r="C30" s="126">
        <f>Yleiskustannus!E8</f>
        <v>275.68077359460813</v>
      </c>
      <c r="D30" s="105" t="s">
        <v>77</v>
      </c>
      <c r="E30" s="142" t="s">
        <v>7</v>
      </c>
      <c r="F30" s="124"/>
      <c r="G30" s="126">
        <f>Yleiskustannus!F8</f>
        <v>275.68077359460813</v>
      </c>
      <c r="H30" s="105" t="s">
        <v>77</v>
      </c>
    </row>
    <row r="31" spans="1:11" ht="18" customHeight="1" x14ac:dyDescent="0.25">
      <c r="A31" s="25" t="s">
        <v>97</v>
      </c>
      <c r="B31" s="126">
        <f>Työnmenekki!D6</f>
        <v>62.684147933272911</v>
      </c>
      <c r="C31" s="125">
        <v>16</v>
      </c>
      <c r="D31" s="105" t="s">
        <v>37</v>
      </c>
      <c r="E31" s="142" t="s">
        <v>97</v>
      </c>
      <c r="F31" s="126">
        <f>Työnmenekki!E6</f>
        <v>62.684147933272911</v>
      </c>
      <c r="G31" s="125">
        <v>16</v>
      </c>
      <c r="H31" s="105" t="s">
        <v>37</v>
      </c>
    </row>
    <row r="32" spans="1:11" ht="18" customHeight="1" x14ac:dyDescent="0.25">
      <c r="A32" s="25"/>
      <c r="B32" s="124"/>
      <c r="C32" s="124"/>
      <c r="D32" s="105"/>
      <c r="E32" s="142"/>
      <c r="F32" s="124"/>
      <c r="G32" s="124"/>
      <c r="H32" s="105"/>
    </row>
    <row r="33" spans="1:8" s="2" customFormat="1" ht="18" customHeight="1" x14ac:dyDescent="0.3">
      <c r="A33" s="25" t="s">
        <v>107</v>
      </c>
      <c r="B33" s="130"/>
      <c r="C33" s="131">
        <v>3</v>
      </c>
      <c r="D33" s="118"/>
      <c r="E33" s="142" t="s">
        <v>107</v>
      </c>
      <c r="F33" s="130"/>
      <c r="G33" s="131">
        <v>3</v>
      </c>
      <c r="H33" s="118"/>
    </row>
    <row r="34" spans="1:8" ht="12.9" customHeight="1" x14ac:dyDescent="0.25">
      <c r="A34" s="117"/>
      <c r="D34" s="119"/>
      <c r="E34" s="144"/>
      <c r="H34" s="119"/>
    </row>
    <row r="35" spans="1:8" ht="12.9" customHeight="1" x14ac:dyDescent="0.3">
      <c r="A35" s="110" t="s">
        <v>90</v>
      </c>
      <c r="B35" s="41"/>
      <c r="C35" s="103">
        <f>Katelaskelma!F36</f>
        <v>798.86512426961917</v>
      </c>
      <c r="D35" s="120" t="s">
        <v>76</v>
      </c>
      <c r="E35" s="145" t="s">
        <v>90</v>
      </c>
      <c r="F35" s="41"/>
      <c r="G35" s="103">
        <f>Katelaskelma!I36</f>
        <v>775.29668978462496</v>
      </c>
      <c r="H35" s="120" t="s">
        <v>76</v>
      </c>
    </row>
  </sheetData>
  <sheetProtection algorithmName="SHA-512" hashValue="IzSqv+7T2DhVs6yRFR0xsp1O03bNX2kQR9LsCrq7CJ2RX0sKUp2WMPfKi4z1aEcXgel6znEj62xoQXMghd5MwA==" saltValue="QUGvBkX/zbrR7wBMGyscNg==" spinCount="100000" sheet="1" objects="1" scenarios="1"/>
  <pageMargins left="0.7" right="0.7" top="0.75" bottom="0.75" header="0.3" footer="0.3"/>
  <pageSetup paperSize="9" scale="91" orientation="portrait" r:id="rId1"/>
  <headerFooter>
    <oddHeader xml:space="preserve">&amp;C&amp;"-,Regular"&amp;12www.luke.fi/poikimavali&amp;"Arial,Regular"&amp;10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9" r:id="rId4" name="Drop Down 9">
              <controlPr defaultSize="0" autoLine="0" autoPict="0" altText="Valitse">
                <anchor moveWithCells="1">
                  <from>
                    <xdr:col>1</xdr:col>
                    <xdr:colOff>38100</xdr:colOff>
                    <xdr:row>3</xdr:row>
                    <xdr:rowOff>0</xdr:rowOff>
                  </from>
                  <to>
                    <xdr:col>1</xdr:col>
                    <xdr:colOff>1021080</xdr:colOff>
                    <xdr:row>3</xdr:row>
                    <xdr:rowOff>198120</xdr:rowOff>
                  </to>
                </anchor>
              </controlPr>
            </control>
          </mc:Choice>
        </mc:AlternateContent>
        <mc:AlternateContent xmlns:mc="http://schemas.openxmlformats.org/markup-compatibility/2006">
          <mc:Choice Requires="x14">
            <control shapeId="15391" r:id="rId5" name="Button 31">
              <controlPr locked="0" defaultSize="0" print="0" autoFill="0" autoPict="0" macro="[0]!Oletukset" altText="Palauta oletukset">
                <anchor moveWithCells="1">
                  <from>
                    <xdr:col>2</xdr:col>
                    <xdr:colOff>426720</xdr:colOff>
                    <xdr:row>3</xdr:row>
                    <xdr:rowOff>68580</xdr:rowOff>
                  </from>
                  <to>
                    <xdr:col>3</xdr:col>
                    <xdr:colOff>716280</xdr:colOff>
                    <xdr:row>4</xdr:row>
                    <xdr:rowOff>160020</xdr:rowOff>
                  </to>
                </anchor>
              </controlPr>
            </control>
          </mc:Choice>
        </mc:AlternateContent>
        <mc:AlternateContent xmlns:mc="http://schemas.openxmlformats.org/markup-compatibility/2006">
          <mc:Choice Requires="x14">
            <control shapeId="15392" r:id="rId6" name="Drop Down 32">
              <controlPr defaultSize="0" autoLine="0" autoPict="0" altText="Valitse">
                <anchor moveWithCells="1">
                  <from>
                    <xdr:col>5</xdr:col>
                    <xdr:colOff>38100</xdr:colOff>
                    <xdr:row>3</xdr:row>
                    <xdr:rowOff>0</xdr:rowOff>
                  </from>
                  <to>
                    <xdr:col>5</xdr:col>
                    <xdr:colOff>1021080</xdr:colOff>
                    <xdr:row>3</xdr:row>
                    <xdr:rowOff>198120</xdr:rowOff>
                  </to>
                </anchor>
              </controlPr>
            </control>
          </mc:Choice>
        </mc:AlternateContent>
        <mc:AlternateContent xmlns:mc="http://schemas.openxmlformats.org/markup-compatibility/2006">
          <mc:Choice Requires="x14">
            <control shapeId="15393" r:id="rId7" name="Button 33">
              <controlPr locked="0" defaultSize="0" print="0" autoFill="0" autoPict="0" macro="[0]!Oletukset_2" altText="Palauta oletukset">
                <anchor moveWithCells="1">
                  <from>
                    <xdr:col>6</xdr:col>
                    <xdr:colOff>411480</xdr:colOff>
                    <xdr:row>3</xdr:row>
                    <xdr:rowOff>68580</xdr:rowOff>
                  </from>
                  <to>
                    <xdr:col>7</xdr:col>
                    <xdr:colOff>693420</xdr:colOff>
                    <xdr:row>4</xdr:row>
                    <xdr:rowOff>160020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ul5"/>
  <dimension ref="A1:DK224"/>
  <sheetViews>
    <sheetView zoomScaleNormal="100" zoomScaleSheetLayoutView="100" workbookViewId="0">
      <selection activeCell="B2" sqref="B2"/>
    </sheetView>
  </sheetViews>
  <sheetFormatPr defaultColWidth="9.109375" defaultRowHeight="13.2" x14ac:dyDescent="0.25"/>
  <cols>
    <col min="1" max="1" width="0.88671875" customWidth="1"/>
    <col min="2" max="2" width="23.88671875" style="6" customWidth="1"/>
    <col min="3" max="9" width="11.88671875" style="6" customWidth="1"/>
    <col min="50" max="16384" width="9.109375" style="6"/>
  </cols>
  <sheetData>
    <row r="1" spans="1:49" s="14" customFormat="1" ht="18" customHeight="1" x14ac:dyDescent="0.35">
      <c r="A1"/>
      <c r="B1" s="24" t="s">
        <v>111</v>
      </c>
      <c r="C1" s="23"/>
      <c r="D1" s="23"/>
      <c r="E1" s="23"/>
      <c r="F1" s="23"/>
      <c r="G1" s="23"/>
      <c r="H1" s="23"/>
      <c r="I1" s="23"/>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row>
    <row r="2" spans="1:49" s="14" customFormat="1" ht="18" customHeight="1" x14ac:dyDescent="0.35">
      <c r="A2"/>
      <c r="B2" s="24"/>
      <c r="C2" s="23"/>
      <c r="D2" s="23"/>
      <c r="E2" s="23"/>
      <c r="F2" s="23"/>
      <c r="G2" s="23"/>
      <c r="H2" s="23"/>
      <c r="I2" s="23"/>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row>
    <row r="3" spans="1:49" s="14" customFormat="1" ht="18" customHeight="1" x14ac:dyDescent="0.35">
      <c r="A3"/>
      <c r="B3" s="24"/>
      <c r="C3" s="23"/>
      <c r="D3" s="23"/>
      <c r="E3" s="23"/>
      <c r="F3" s="23"/>
      <c r="G3" s="23"/>
      <c r="H3" s="23"/>
      <c r="I3" s="23"/>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row>
    <row r="4" spans="1:49" ht="18" customHeight="1" x14ac:dyDescent="0.25">
      <c r="B4" s="150"/>
      <c r="C4" s="159"/>
      <c r="D4" s="209" t="s">
        <v>137</v>
      </c>
      <c r="E4" s="209"/>
      <c r="F4" s="210"/>
      <c r="G4" s="211" t="s">
        <v>138</v>
      </c>
      <c r="H4" s="209"/>
      <c r="I4" s="210"/>
      <c r="J4" s="78"/>
    </row>
    <row r="5" spans="1:49" ht="18" customHeight="1" x14ac:dyDescent="0.25">
      <c r="B5" s="79"/>
      <c r="C5" s="160" t="s">
        <v>11</v>
      </c>
      <c r="D5" s="80" t="s">
        <v>56</v>
      </c>
      <c r="E5" s="75" t="s">
        <v>71</v>
      </c>
      <c r="F5" s="81" t="s">
        <v>12</v>
      </c>
      <c r="G5" s="80" t="s">
        <v>56</v>
      </c>
      <c r="H5" s="75" t="s">
        <v>71</v>
      </c>
      <c r="I5" s="81" t="s">
        <v>12</v>
      </c>
    </row>
    <row r="6" spans="1:49" ht="18" customHeight="1" x14ac:dyDescent="0.25">
      <c r="B6" s="82" t="s">
        <v>75</v>
      </c>
      <c r="C6" s="168"/>
      <c r="D6" s="83"/>
      <c r="E6" s="76"/>
      <c r="F6" s="84"/>
      <c r="G6" s="83"/>
      <c r="H6" s="76"/>
      <c r="I6" s="84"/>
    </row>
    <row r="7" spans="1:49" ht="18" customHeight="1" x14ac:dyDescent="0.25">
      <c r="B7" s="26" t="s">
        <v>24</v>
      </c>
      <c r="C7" s="161" t="s">
        <v>25</v>
      </c>
      <c r="D7" s="27">
        <f>'Lähtötiedot ja kate'!C9+((('Lähtötiedot ja kate'!B11-4.3)/10)*'Lähtötiedot ja kate'!C11)+((('Lähtötiedot ja kate'!B12-3.3)/10)*'Lähtötiedot ja kate'!C12)</f>
        <v>0.38620000000000004</v>
      </c>
      <c r="E7" s="28">
        <f>(('Lähtötiedot ja kate'!B10/1.03)/'Lähtötiedot ja kate'!B19)*365</f>
        <v>8969.1392228191471</v>
      </c>
      <c r="F7" s="45">
        <f>D7*E7</f>
        <v>3463.8815678527549</v>
      </c>
      <c r="G7" s="27">
        <f>'Lähtötiedot ja kate'!G9+((('Lähtötiedot ja kate'!F11-4.3)/10)*'Lähtötiedot ja kate'!G11)+((('Lähtötiedot ja kate'!F12-3.3)/10)*'Lähtötiedot ja kate'!G12)</f>
        <v>0.38620000000000004</v>
      </c>
      <c r="H7" s="28">
        <f>(('Lähtötiedot ja kate'!F10/1.03)/'Lähtötiedot ja kate'!F19)*365</f>
        <v>8836.6807480421958</v>
      </c>
      <c r="I7" s="45">
        <f>G7*H7</f>
        <v>3412.7261048938963</v>
      </c>
    </row>
    <row r="8" spans="1:49" ht="18" customHeight="1" x14ac:dyDescent="0.25">
      <c r="B8" s="26" t="s">
        <v>26</v>
      </c>
      <c r="C8" s="162" t="s">
        <v>13</v>
      </c>
      <c r="D8" s="29">
        <f>'Lähtötiedot ja kate'!C14</f>
        <v>2.5</v>
      </c>
      <c r="E8" s="28">
        <f>'Lähtötiedot ja kate'!B21/100*647*0.45</f>
        <v>90.256500000000003</v>
      </c>
      <c r="F8" s="45">
        <f t="shared" ref="F8:F13" si="0">D8*E8</f>
        <v>225.64125000000001</v>
      </c>
      <c r="G8" s="29">
        <f>'Lähtötiedot ja kate'!G14</f>
        <v>2.5</v>
      </c>
      <c r="H8" s="28">
        <f>'Lähtötiedot ja kate'!F21/100*647*0.45</f>
        <v>87.344999999999999</v>
      </c>
      <c r="I8" s="45">
        <f t="shared" ref="I8:I13" si="1">G8*H8</f>
        <v>218.36250000000001</v>
      </c>
    </row>
    <row r="9" spans="1:49" ht="18" customHeight="1" x14ac:dyDescent="0.25">
      <c r="B9" s="26" t="s">
        <v>0</v>
      </c>
      <c r="C9" s="162" t="s">
        <v>14</v>
      </c>
      <c r="D9" s="30">
        <f>'Lähtötiedot ja kate'!C15</f>
        <v>105</v>
      </c>
      <c r="E9" s="31">
        <f>0.49*(365/'Lähtötiedot ja kate'!B19)-(0.49*(365/'Lähtötiedot ja kate'!B19))*('Lähtötiedot ja kate'!B22/100)</f>
        <v>0.40829280397022333</v>
      </c>
      <c r="F9" s="45">
        <f t="shared" si="0"/>
        <v>42.87074441687345</v>
      </c>
      <c r="G9" s="32">
        <f>'Lähtötiedot ja kate'!G15</f>
        <v>105</v>
      </c>
      <c r="H9" s="31">
        <f>0.49*(365/'Lähtötiedot ja kate'!F19)-(0.49*(365/'Lähtötiedot ja kate'!F19))*('Lähtötiedot ja kate'!F22/100)</f>
        <v>0.42778371501272267</v>
      </c>
      <c r="I9" s="45">
        <f t="shared" si="1"/>
        <v>44.917290076335881</v>
      </c>
    </row>
    <row r="10" spans="1:49" ht="18" customHeight="1" x14ac:dyDescent="0.25">
      <c r="B10" s="26" t="s">
        <v>1</v>
      </c>
      <c r="C10" s="162" t="s">
        <v>14</v>
      </c>
      <c r="D10" s="30">
        <f>'Lähtötiedot ja kate'!C16</f>
        <v>170</v>
      </c>
      <c r="E10" s="31">
        <f>0.51*(365/'Lähtötiedot ja kate'!B19)-(0.51*(365/'Lähtötiedot ja kate'!B19))*('Lähtötiedot ja kate'!B22/100)</f>
        <v>0.42495781637717123</v>
      </c>
      <c r="F10" s="45">
        <f t="shared" si="0"/>
        <v>72.242828784119112</v>
      </c>
      <c r="G10" s="32">
        <f>'Lähtötiedot ja kate'!G16</f>
        <v>170</v>
      </c>
      <c r="H10" s="31">
        <f>0.51*(365/'Lähtötiedot ja kate'!F19)-(0.51*(365/'Lähtötiedot ja kate'!F19))*('Lähtötiedot ja kate'!F22/100)</f>
        <v>0.44524427480916035</v>
      </c>
      <c r="I10" s="45">
        <f t="shared" si="1"/>
        <v>75.691526717557252</v>
      </c>
    </row>
    <row r="11" spans="1:49" ht="18" customHeight="1" x14ac:dyDescent="0.25">
      <c r="B11" s="26" t="s">
        <v>28</v>
      </c>
      <c r="C11" s="162" t="s">
        <v>14</v>
      </c>
      <c r="D11" s="32">
        <f>'Lähtötiedot ja kate'!C17</f>
        <v>420</v>
      </c>
      <c r="E11" s="28">
        <f>'Lähtötiedot ja kate'!B17/'Lähtötiedot ja kate'!B5</f>
        <v>0</v>
      </c>
      <c r="F11" s="45">
        <f t="shared" si="0"/>
        <v>0</v>
      </c>
      <c r="G11" s="32">
        <f>'Lähtötiedot ja kate'!G17</f>
        <v>420</v>
      </c>
      <c r="H11" s="28">
        <f>'Lähtötiedot ja kate'!F17/'Lähtötiedot ja kate'!F5</f>
        <v>0</v>
      </c>
      <c r="I11" s="45">
        <f t="shared" si="1"/>
        <v>0</v>
      </c>
    </row>
    <row r="12" spans="1:49" ht="18" customHeight="1" x14ac:dyDescent="0.25">
      <c r="B12" s="26" t="s">
        <v>27</v>
      </c>
      <c r="C12" s="162" t="s">
        <v>31</v>
      </c>
      <c r="D12" s="29">
        <f>LOOKUP(Tuet!A4,Tuet!B6:B14,Tuet!D6:D14)</f>
        <v>9.2999999999999999E-2</v>
      </c>
      <c r="E12" s="28">
        <f>E7</f>
        <v>8969.1392228191471</v>
      </c>
      <c r="F12" s="45">
        <f t="shared" si="0"/>
        <v>834.12994772218065</v>
      </c>
      <c r="G12" s="29">
        <f>LOOKUP(Tuet!E4,Tuet!B6:B14,Tuet!D6:D14)</f>
        <v>9.2999999999999999E-2</v>
      </c>
      <c r="H12" s="28">
        <f>H7</f>
        <v>8836.6807480421958</v>
      </c>
      <c r="I12" s="45">
        <f t="shared" si="1"/>
        <v>821.81130956792424</v>
      </c>
    </row>
    <row r="13" spans="1:49" ht="18" customHeight="1" x14ac:dyDescent="0.25">
      <c r="B13" s="97" t="s">
        <v>29</v>
      </c>
      <c r="C13" s="163" t="s">
        <v>31</v>
      </c>
      <c r="D13" s="32">
        <f>LOOKUP(Tuet!A4,Tuet!B6:B14,Tuet!C6:C14)</f>
        <v>0</v>
      </c>
      <c r="E13" s="28">
        <v>1</v>
      </c>
      <c r="F13" s="46">
        <f t="shared" si="0"/>
        <v>0</v>
      </c>
      <c r="G13" s="32">
        <f>LOOKUP(Tuet!E4,Tuet!B6:B14,Tuet!C6:C14)</f>
        <v>0</v>
      </c>
      <c r="H13" s="28">
        <v>1</v>
      </c>
      <c r="I13" s="46">
        <f t="shared" si="1"/>
        <v>0</v>
      </c>
    </row>
    <row r="14" spans="1:49" ht="18" customHeight="1" x14ac:dyDescent="0.25">
      <c r="B14" s="79" t="s">
        <v>15</v>
      </c>
      <c r="C14" s="167"/>
      <c r="D14" s="86"/>
      <c r="E14" s="85"/>
      <c r="F14" s="47">
        <f>SUM(F7:F13)</f>
        <v>4638.7663387759285</v>
      </c>
      <c r="G14" s="147"/>
      <c r="H14" s="85"/>
      <c r="I14" s="47">
        <f>SUM(I7:I13)</f>
        <v>4573.5087312557143</v>
      </c>
    </row>
    <row r="15" spans="1:49" ht="18" customHeight="1" x14ac:dyDescent="0.25">
      <c r="B15" s="214" t="s">
        <v>16</v>
      </c>
      <c r="C15" s="215"/>
      <c r="D15" s="83"/>
      <c r="E15" s="38"/>
      <c r="F15" s="39"/>
      <c r="G15" s="149"/>
      <c r="H15" s="38"/>
      <c r="I15" s="39"/>
    </row>
    <row r="16" spans="1:49" ht="18" customHeight="1" x14ac:dyDescent="0.25">
      <c r="B16" s="98" t="s">
        <v>99</v>
      </c>
      <c r="C16" s="161" t="s">
        <v>17</v>
      </c>
      <c r="D16" s="29">
        <f>'Lähtötiedot ja kate'!C29</f>
        <v>0.2</v>
      </c>
      <c r="E16" s="28">
        <f>Ruokinta!E22</f>
        <v>7355.4786109451152</v>
      </c>
      <c r="F16" s="45">
        <f>D16*E16</f>
        <v>1471.095722189023</v>
      </c>
      <c r="G16" s="148">
        <f>'Lähtötiedot ja kate'!G29</f>
        <v>0.2</v>
      </c>
      <c r="H16" s="28">
        <f>Ruokinta!I22</f>
        <v>7338.6952399826287</v>
      </c>
      <c r="I16" s="45">
        <f>G16*H16</f>
        <v>1467.7390479965259</v>
      </c>
    </row>
    <row r="17" spans="1:49" ht="18" customHeight="1" x14ac:dyDescent="0.25">
      <c r="B17" s="26" t="s">
        <v>3</v>
      </c>
      <c r="C17" s="162" t="s">
        <v>14</v>
      </c>
      <c r="D17" s="30">
        <f>'Lähtötiedot ja kate'!C24</f>
        <v>48</v>
      </c>
      <c r="E17" s="158">
        <f>'Lähtötiedot ja kate'!B24</f>
        <v>1.9</v>
      </c>
      <c r="F17" s="45">
        <f>((D17*E17)/'Lähtötiedot ja kate'!B19)*365</f>
        <v>82.600496277915624</v>
      </c>
      <c r="G17" s="30">
        <f>'Lähtötiedot ja kate'!F24</f>
        <v>1.8</v>
      </c>
      <c r="H17" s="28">
        <f>'Lähtötiedot ja kate'!G24</f>
        <v>48</v>
      </c>
      <c r="I17" s="45">
        <f>((G17*H17)/'Lähtötiedot ja kate'!F19)*365</f>
        <v>80.244274809160316</v>
      </c>
    </row>
    <row r="18" spans="1:49" ht="18" customHeight="1" x14ac:dyDescent="0.25">
      <c r="B18" s="26" t="s">
        <v>2</v>
      </c>
      <c r="C18" s="162" t="s">
        <v>31</v>
      </c>
      <c r="D18" s="32">
        <f>'Lähtötiedot ja kate'!C26</f>
        <v>65</v>
      </c>
      <c r="E18" s="28">
        <v>1</v>
      </c>
      <c r="F18" s="45">
        <f t="shared" ref="F18:F23" si="2">D18*E18</f>
        <v>65</v>
      </c>
      <c r="G18" s="32">
        <f>'Lähtötiedot ja kate'!G26</f>
        <v>65</v>
      </c>
      <c r="H18" s="28">
        <v>1</v>
      </c>
      <c r="I18" s="45">
        <f t="shared" ref="I18:I21" si="3">G18*H18</f>
        <v>65</v>
      </c>
    </row>
    <row r="19" spans="1:49" ht="18" customHeight="1" x14ac:dyDescent="0.25">
      <c r="B19" s="26" t="s">
        <v>18</v>
      </c>
      <c r="C19" s="162" t="s">
        <v>14</v>
      </c>
      <c r="D19" s="28">
        <f>Katelaskelma!D9+('Lähtötiedot ja kate'!B23-14)*'Lähtötiedot ja kate'!C28</f>
        <v>1779.2</v>
      </c>
      <c r="E19" s="31">
        <f>'Lähtötiedot ja kate'!B21/100</f>
        <v>0.31</v>
      </c>
      <c r="F19" s="45">
        <f t="shared" si="2"/>
        <v>551.55200000000002</v>
      </c>
      <c r="G19" s="28">
        <f>Katelaskelma!G9+('Lähtötiedot ja kate'!F23-14)*'Lähtötiedot ja kate'!G28</f>
        <v>1724.2</v>
      </c>
      <c r="H19" s="31">
        <f>'Lähtötiedot ja kate'!F21/100</f>
        <v>0.3</v>
      </c>
      <c r="I19" s="45">
        <f t="shared" si="3"/>
        <v>517.26</v>
      </c>
    </row>
    <row r="20" spans="1:49" ht="27" customHeight="1" x14ac:dyDescent="0.25">
      <c r="B20" s="26" t="s">
        <v>102</v>
      </c>
      <c r="C20" s="162" t="s">
        <v>31</v>
      </c>
      <c r="D20" s="32">
        <f>'Lähtötiedot ja kate'!C27</f>
        <v>320</v>
      </c>
      <c r="E20" s="28">
        <v>1</v>
      </c>
      <c r="F20" s="45">
        <f t="shared" si="2"/>
        <v>320</v>
      </c>
      <c r="G20" s="32">
        <f>'Lähtötiedot ja kate'!G27</f>
        <v>320</v>
      </c>
      <c r="H20" s="28">
        <v>1</v>
      </c>
      <c r="I20" s="45">
        <f t="shared" si="3"/>
        <v>320</v>
      </c>
    </row>
    <row r="21" spans="1:49" ht="18" customHeight="1" x14ac:dyDescent="0.25">
      <c r="B21" s="26" t="s">
        <v>4</v>
      </c>
      <c r="C21" s="162" t="s">
        <v>31</v>
      </c>
      <c r="D21" s="33">
        <f>'Lähtötiedot ja kate'!C33/100</f>
        <v>0.03</v>
      </c>
      <c r="E21" s="28">
        <f>D19</f>
        <v>1779.2</v>
      </c>
      <c r="F21" s="45">
        <f t="shared" si="2"/>
        <v>53.375999999999998</v>
      </c>
      <c r="G21" s="33">
        <f>'Lähtötiedot ja kate'!G33/100</f>
        <v>0.03</v>
      </c>
      <c r="H21" s="28">
        <f>G19</f>
        <v>1724.2</v>
      </c>
      <c r="I21" s="45">
        <f t="shared" si="3"/>
        <v>51.725999999999999</v>
      </c>
    </row>
    <row r="22" spans="1:49" ht="18" customHeight="1" x14ac:dyDescent="0.25">
      <c r="B22" s="26" t="s">
        <v>35</v>
      </c>
      <c r="C22" s="162" t="s">
        <v>31</v>
      </c>
      <c r="D22" s="33">
        <v>0.2</v>
      </c>
      <c r="E22" s="28">
        <f>(F16++F17+F18+F20+F27)*D22</f>
        <v>588.32851707986106</v>
      </c>
      <c r="F22" s="45"/>
      <c r="G22" s="33">
        <v>0.2</v>
      </c>
      <c r="H22" s="28">
        <f>(I16++I17+I18+I20+I27)*G22</f>
        <v>587.18593794761057</v>
      </c>
      <c r="I22" s="45"/>
    </row>
    <row r="23" spans="1:49" ht="18" customHeight="1" x14ac:dyDescent="0.25">
      <c r="B23" s="97" t="s">
        <v>34</v>
      </c>
      <c r="C23" s="163" t="s">
        <v>31</v>
      </c>
      <c r="D23" s="33">
        <f>'Lähtötiedot ja kate'!C33/100</f>
        <v>0.03</v>
      </c>
      <c r="E23" s="28">
        <f>E22</f>
        <v>588.32851707986106</v>
      </c>
      <c r="F23" s="45">
        <f t="shared" si="2"/>
        <v>17.649855512395831</v>
      </c>
      <c r="G23" s="33">
        <f>'Lähtötiedot ja kate'!G33/100</f>
        <v>0.03</v>
      </c>
      <c r="H23" s="28">
        <f>H22</f>
        <v>587.18593794761057</v>
      </c>
      <c r="I23" s="45">
        <f t="shared" ref="I23" si="4">G23*H23</f>
        <v>17.615578138428315</v>
      </c>
    </row>
    <row r="24" spans="1:49" ht="18" customHeight="1" x14ac:dyDescent="0.25">
      <c r="B24" s="212" t="s">
        <v>19</v>
      </c>
      <c r="C24" s="213"/>
      <c r="D24" s="86"/>
      <c r="E24" s="86"/>
      <c r="F24" s="87">
        <f>SUM(F16:F23)</f>
        <v>2561.2740739793348</v>
      </c>
      <c r="G24" s="147"/>
      <c r="H24" s="86"/>
      <c r="I24" s="87">
        <f>SUM(I16:I23)</f>
        <v>2519.5849009441145</v>
      </c>
    </row>
    <row r="25" spans="1:49" ht="18" customHeight="1" x14ac:dyDescent="0.25">
      <c r="B25" s="79" t="s">
        <v>20</v>
      </c>
      <c r="C25" s="167"/>
      <c r="D25" s="86"/>
      <c r="E25" s="88"/>
      <c r="F25" s="87">
        <f>F14-F24</f>
        <v>2077.4922647965936</v>
      </c>
      <c r="G25" s="147"/>
      <c r="H25" s="88"/>
      <c r="I25" s="87">
        <f>I14-I24</f>
        <v>2053.9238303115999</v>
      </c>
    </row>
    <row r="26" spans="1:49" ht="18" customHeight="1" x14ac:dyDescent="0.25">
      <c r="B26" s="50" t="s">
        <v>21</v>
      </c>
      <c r="C26" s="140"/>
      <c r="D26" s="40"/>
      <c r="E26" s="207"/>
      <c r="F26" s="208"/>
      <c r="G26" s="151"/>
      <c r="H26" s="207"/>
      <c r="I26" s="208"/>
    </row>
    <row r="27" spans="1:49" ht="18" customHeight="1" x14ac:dyDescent="0.25">
      <c r="B27" s="99" t="s">
        <v>62</v>
      </c>
      <c r="C27" s="164" t="s">
        <v>30</v>
      </c>
      <c r="D27" s="89">
        <f>'Lähtötiedot ja kate'!C31</f>
        <v>16</v>
      </c>
      <c r="E27" s="28">
        <f>'Lähtötiedot ja kate'!B31</f>
        <v>62.684147933272911</v>
      </c>
      <c r="F27" s="48">
        <f>D27*E27</f>
        <v>1002.9463669323666</v>
      </c>
      <c r="G27" s="89">
        <f>'Lähtötiedot ja kate'!G31</f>
        <v>16</v>
      </c>
      <c r="H27" s="28">
        <f>'Lähtötiedot ja kate'!F31</f>
        <v>62.684147933272911</v>
      </c>
      <c r="I27" s="48">
        <f>G27*H27</f>
        <v>1002.9463669323666</v>
      </c>
    </row>
    <row r="28" spans="1:49" s="14" customFormat="1" ht="18" customHeight="1" x14ac:dyDescent="0.25">
      <c r="A28"/>
      <c r="B28" s="90" t="s">
        <v>55</v>
      </c>
      <c r="C28" s="165"/>
      <c r="D28" s="72"/>
      <c r="E28" s="72"/>
      <c r="F28" s="87">
        <f>SUM(F27:F27)</f>
        <v>1002.9463669323666</v>
      </c>
      <c r="G28" s="72"/>
      <c r="H28" s="72"/>
      <c r="I28" s="87">
        <f>SUM(I27:I27)</f>
        <v>1002.9463669323666</v>
      </c>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row>
    <row r="29" spans="1:49" ht="18" customHeight="1" x14ac:dyDescent="0.25">
      <c r="B29" s="90" t="s">
        <v>22</v>
      </c>
      <c r="C29" s="87"/>
      <c r="D29" s="72"/>
      <c r="E29" s="72"/>
      <c r="F29" s="87">
        <f>F25-F28</f>
        <v>1074.5458978642271</v>
      </c>
      <c r="G29" s="72"/>
      <c r="H29" s="72"/>
      <c r="I29" s="87">
        <f>I25-I28</f>
        <v>1050.9774633792333</v>
      </c>
    </row>
    <row r="30" spans="1:49" ht="18" customHeight="1" x14ac:dyDescent="0.25">
      <c r="B30" s="91" t="s">
        <v>23</v>
      </c>
      <c r="C30" s="169"/>
      <c r="D30" s="92"/>
      <c r="E30" s="93"/>
      <c r="F30" s="94"/>
      <c r="G30" s="92"/>
      <c r="H30" s="93"/>
      <c r="I30" s="94"/>
    </row>
    <row r="31" spans="1:49" ht="18" customHeight="1" x14ac:dyDescent="0.25">
      <c r="B31" s="95" t="s">
        <v>23</v>
      </c>
      <c r="C31" s="166" t="s">
        <v>31</v>
      </c>
      <c r="D31" s="73">
        <f>'Lähtötiedot ja kate'!C30</f>
        <v>275.68077359460813</v>
      </c>
      <c r="E31" s="74">
        <v>1</v>
      </c>
      <c r="F31" s="96">
        <f>D31*E31</f>
        <v>275.68077359460813</v>
      </c>
      <c r="G31" s="73">
        <f>'Lähtötiedot ja kate'!G30</f>
        <v>275.68077359460813</v>
      </c>
      <c r="H31" s="74">
        <v>1</v>
      </c>
      <c r="I31" s="96">
        <f>G31*H31</f>
        <v>275.68077359460813</v>
      </c>
    </row>
    <row r="32" spans="1:49" ht="18" customHeight="1" x14ac:dyDescent="0.25">
      <c r="B32" s="90" t="s">
        <v>109</v>
      </c>
      <c r="C32" s="166"/>
      <c r="D32" s="73"/>
      <c r="E32" s="74"/>
      <c r="F32" s="87">
        <f>SUM(F31)</f>
        <v>275.68077359460813</v>
      </c>
      <c r="G32" s="73"/>
      <c r="H32" s="74"/>
      <c r="I32" s="87">
        <f>SUM(I31)</f>
        <v>275.68077359460813</v>
      </c>
    </row>
    <row r="33" spans="1:115" ht="18" customHeight="1" x14ac:dyDescent="0.25">
      <c r="B33" s="100"/>
      <c r="C33" s="164"/>
      <c r="D33" s="101"/>
      <c r="E33" s="77"/>
      <c r="F33" s="102"/>
      <c r="G33" s="101"/>
      <c r="H33" s="77"/>
      <c r="I33" s="102"/>
    </row>
    <row r="34" spans="1:115" ht="18" customHeight="1" x14ac:dyDescent="0.25">
      <c r="B34" s="90" t="s">
        <v>110</v>
      </c>
      <c r="C34" s="166"/>
      <c r="D34" s="73"/>
      <c r="E34" s="74"/>
      <c r="F34" s="87">
        <f>F24+F28+F32</f>
        <v>3839.9012145063093</v>
      </c>
      <c r="G34" s="73"/>
      <c r="H34" s="74"/>
      <c r="I34" s="87">
        <f>I24+I28+I32</f>
        <v>3798.2120414710894</v>
      </c>
    </row>
    <row r="35" spans="1:115" ht="18" customHeight="1" x14ac:dyDescent="0.25">
      <c r="B35" s="36"/>
      <c r="C35" s="34"/>
      <c r="D35" s="28"/>
      <c r="E35" s="35"/>
      <c r="F35" s="36"/>
      <c r="G35" s="28"/>
      <c r="H35" s="35"/>
      <c r="I35" s="36"/>
    </row>
    <row r="36" spans="1:115" ht="27" customHeight="1" thickBot="1" x14ac:dyDescent="0.3">
      <c r="B36" s="36" t="s">
        <v>84</v>
      </c>
      <c r="C36" s="36"/>
      <c r="D36" s="36"/>
      <c r="E36" s="36"/>
      <c r="F36" s="43">
        <f>F14-F34</f>
        <v>798.86512426961917</v>
      </c>
      <c r="G36" s="36"/>
      <c r="H36" s="36"/>
      <c r="I36" s="43">
        <f>I14-I34</f>
        <v>775.29668978462496</v>
      </c>
      <c r="J36" s="170"/>
    </row>
    <row r="37" spans="1:115" ht="18" customHeight="1" thickTop="1" x14ac:dyDescent="0.25">
      <c r="B37" s="42"/>
      <c r="C37" s="42"/>
      <c r="D37" s="42"/>
      <c r="E37" s="42"/>
      <c r="F37" s="36"/>
      <c r="G37" s="42"/>
      <c r="H37" s="42"/>
      <c r="I37" s="36"/>
    </row>
    <row r="38" spans="1:115" ht="18" customHeight="1" x14ac:dyDescent="0.25">
      <c r="B38" s="42"/>
      <c r="C38" s="42"/>
      <c r="D38" s="42"/>
      <c r="E38" s="42"/>
      <c r="F38" s="36"/>
      <c r="G38" s="42"/>
      <c r="H38" s="42"/>
      <c r="I38" s="36"/>
    </row>
    <row r="39" spans="1:115" ht="18" customHeight="1" x14ac:dyDescent="0.25">
      <c r="B39" s="42"/>
      <c r="C39" s="42"/>
      <c r="D39" s="42"/>
      <c r="E39" s="42"/>
      <c r="F39" s="36"/>
      <c r="G39" s="42"/>
      <c r="H39" s="42"/>
      <c r="I39" s="36"/>
    </row>
    <row r="40" spans="1:115" s="13" customFormat="1" ht="18" customHeight="1" x14ac:dyDescent="0.25">
      <c r="A40"/>
      <c r="B40" s="18"/>
      <c r="C40" s="18"/>
      <c r="D40" s="18"/>
      <c r="E40" s="18"/>
      <c r="F40" s="19"/>
      <c r="G40" s="18"/>
      <c r="H40" s="18"/>
      <c r="I40" s="19"/>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row>
    <row r="41" spans="1:115" ht="18" customHeight="1" x14ac:dyDescent="0.3">
      <c r="B41" s="17"/>
      <c r="C41" s="15"/>
      <c r="D41" s="15"/>
      <c r="E41" s="21"/>
      <c r="F41" s="15"/>
      <c r="G41" s="15"/>
      <c r="H41" s="21"/>
      <c r="I41" s="15"/>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row>
    <row r="42" spans="1:115" ht="18" customHeight="1" x14ac:dyDescent="0.3">
      <c r="B42" s="15"/>
      <c r="C42" s="15"/>
      <c r="D42" s="15"/>
      <c r="E42" s="22"/>
      <c r="F42" s="15"/>
      <c r="G42" s="15"/>
      <c r="H42" s="22"/>
      <c r="I42" s="15"/>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c r="AW42" s="51"/>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row>
    <row r="43" spans="1:115" ht="18" hidden="1" customHeight="1" x14ac:dyDescent="0.3">
      <c r="B43" s="15"/>
      <c r="C43" s="15"/>
      <c r="D43" s="15"/>
      <c r="E43" s="16" t="e">
        <f>(POWER(1+E42,E41)-1)/(E42*(POWER(1+E42,E41)))</f>
        <v>#DIV/0!</v>
      </c>
      <c r="F43" s="15"/>
      <c r="G43" s="15"/>
      <c r="H43" s="16" t="e">
        <f>(POWER(1+H42,H41)-1)/(H42*(POWER(1+H42,H41)))</f>
        <v>#DIV/0!</v>
      </c>
      <c r="I43" s="15"/>
    </row>
    <row r="44" spans="1:115" customFormat="1" ht="18" customHeight="1" x14ac:dyDescent="0.3">
      <c r="B44" s="15"/>
      <c r="C44" s="17"/>
      <c r="D44" s="17"/>
      <c r="E44" s="17"/>
      <c r="F44" s="20"/>
      <c r="G44" s="17"/>
      <c r="H44" s="17"/>
      <c r="I44" s="20"/>
      <c r="J44" s="51"/>
      <c r="K44" s="51"/>
      <c r="L44" s="51"/>
      <c r="M44" s="51"/>
      <c r="N44" s="51"/>
      <c r="O44" s="51"/>
      <c r="P44" s="51"/>
      <c r="Q44" s="51"/>
      <c r="R44" s="51"/>
      <c r="S44" s="51"/>
      <c r="T44" s="51"/>
      <c r="U44" s="51"/>
      <c r="V44" s="51"/>
      <c r="W44" s="51"/>
    </row>
    <row r="45" spans="1:115" customFormat="1" x14ac:dyDescent="0.25">
      <c r="D45" s="52"/>
      <c r="F45" s="53"/>
      <c r="G45" s="52"/>
      <c r="I45" s="53"/>
    </row>
    <row r="46" spans="1:115" customFormat="1" x14ac:dyDescent="0.25">
      <c r="D46" s="52"/>
      <c r="G46" s="52"/>
    </row>
    <row r="47" spans="1:115" customFormat="1" x14ac:dyDescent="0.25"/>
    <row r="48" spans="1:115" customFormat="1" x14ac:dyDescent="0.25">
      <c r="B48" s="1"/>
    </row>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row r="132" customFormat="1" x14ac:dyDescent="0.25"/>
    <row r="133" customFormat="1" x14ac:dyDescent="0.25"/>
    <row r="134" customFormat="1" x14ac:dyDescent="0.25"/>
    <row r="135" customFormat="1" x14ac:dyDescent="0.25"/>
    <row r="136" customFormat="1" x14ac:dyDescent="0.25"/>
    <row r="137" customFormat="1" x14ac:dyDescent="0.25"/>
    <row r="138" customFormat="1" x14ac:dyDescent="0.25"/>
    <row r="139" customFormat="1" x14ac:dyDescent="0.25"/>
    <row r="140" customFormat="1" x14ac:dyDescent="0.25"/>
    <row r="141" customFormat="1" x14ac:dyDescent="0.25"/>
    <row r="142" customFormat="1" x14ac:dyDescent="0.25"/>
    <row r="143" customFormat="1" x14ac:dyDescent="0.25"/>
    <row r="144" customFormat="1" x14ac:dyDescent="0.25"/>
    <row r="145" customFormat="1" x14ac:dyDescent="0.25"/>
    <row r="146" customFormat="1" x14ac:dyDescent="0.25"/>
    <row r="147" customFormat="1" x14ac:dyDescent="0.25"/>
    <row r="148" customFormat="1" x14ac:dyDescent="0.25"/>
    <row r="149" customFormat="1" x14ac:dyDescent="0.25"/>
    <row r="150" customFormat="1" x14ac:dyDescent="0.25"/>
    <row r="151" customFormat="1" x14ac:dyDescent="0.25"/>
    <row r="152" customFormat="1" x14ac:dyDescent="0.25"/>
    <row r="153" customFormat="1" x14ac:dyDescent="0.25"/>
    <row r="154" customFormat="1" x14ac:dyDescent="0.25"/>
    <row r="155" customFormat="1" x14ac:dyDescent="0.25"/>
    <row r="156" customFormat="1" x14ac:dyDescent="0.25"/>
    <row r="157" customFormat="1" x14ac:dyDescent="0.25"/>
    <row r="158" customFormat="1" x14ac:dyDescent="0.25"/>
    <row r="159" customFormat="1" x14ac:dyDescent="0.25"/>
    <row r="160" customFormat="1" x14ac:dyDescent="0.25"/>
    <row r="161" customFormat="1" x14ac:dyDescent="0.25"/>
    <row r="162" customFormat="1" x14ac:dyDescent="0.25"/>
    <row r="163" customFormat="1" x14ac:dyDescent="0.25"/>
    <row r="164" customFormat="1" x14ac:dyDescent="0.25"/>
    <row r="165" customFormat="1" x14ac:dyDescent="0.25"/>
    <row r="166" customFormat="1" x14ac:dyDescent="0.25"/>
    <row r="167" customFormat="1" x14ac:dyDescent="0.25"/>
    <row r="168" customFormat="1" x14ac:dyDescent="0.25"/>
    <row r="169" customFormat="1" x14ac:dyDescent="0.25"/>
    <row r="170" customFormat="1" x14ac:dyDescent="0.25"/>
    <row r="171" customFormat="1" x14ac:dyDescent="0.25"/>
    <row r="172" customFormat="1" x14ac:dyDescent="0.25"/>
    <row r="173" customFormat="1" x14ac:dyDescent="0.25"/>
    <row r="174" customFormat="1" x14ac:dyDescent="0.25"/>
    <row r="175" customFormat="1" x14ac:dyDescent="0.25"/>
    <row r="176" customFormat="1" x14ac:dyDescent="0.25"/>
    <row r="177" customFormat="1" x14ac:dyDescent="0.25"/>
    <row r="178" customFormat="1" x14ac:dyDescent="0.25"/>
    <row r="179" customFormat="1" x14ac:dyDescent="0.25"/>
    <row r="180" customFormat="1" x14ac:dyDescent="0.25"/>
    <row r="181" customFormat="1" x14ac:dyDescent="0.25"/>
    <row r="182" customFormat="1" x14ac:dyDescent="0.25"/>
    <row r="183" customFormat="1" x14ac:dyDescent="0.25"/>
    <row r="184" customFormat="1" x14ac:dyDescent="0.25"/>
    <row r="185" customFormat="1" x14ac:dyDescent="0.25"/>
    <row r="186" customFormat="1" x14ac:dyDescent="0.25"/>
    <row r="187" customFormat="1" x14ac:dyDescent="0.25"/>
    <row r="188" customFormat="1" x14ac:dyDescent="0.25"/>
    <row r="189" customFormat="1" x14ac:dyDescent="0.25"/>
    <row r="190" customFormat="1" x14ac:dyDescent="0.25"/>
    <row r="191" customFormat="1" x14ac:dyDescent="0.25"/>
    <row r="192" customFormat="1" x14ac:dyDescent="0.25"/>
    <row r="193" customFormat="1" x14ac:dyDescent="0.25"/>
    <row r="194" customFormat="1" x14ac:dyDescent="0.25"/>
    <row r="195" customFormat="1" x14ac:dyDescent="0.25"/>
    <row r="196" customFormat="1" x14ac:dyDescent="0.25"/>
    <row r="197" customFormat="1" x14ac:dyDescent="0.25"/>
    <row r="198" customFormat="1" x14ac:dyDescent="0.25"/>
    <row r="199" customFormat="1" x14ac:dyDescent="0.25"/>
    <row r="200" customFormat="1" x14ac:dyDescent="0.25"/>
    <row r="201" customFormat="1" x14ac:dyDescent="0.25"/>
    <row r="202" customFormat="1" x14ac:dyDescent="0.25"/>
    <row r="203" customFormat="1" x14ac:dyDescent="0.25"/>
    <row r="204" customFormat="1" x14ac:dyDescent="0.25"/>
    <row r="205" customFormat="1" x14ac:dyDescent="0.25"/>
    <row r="206" customFormat="1" x14ac:dyDescent="0.25"/>
    <row r="207" customFormat="1" x14ac:dyDescent="0.25"/>
    <row r="208" customFormat="1" x14ac:dyDescent="0.25"/>
    <row r="209" customFormat="1" x14ac:dyDescent="0.25"/>
    <row r="210" customFormat="1" x14ac:dyDescent="0.25"/>
    <row r="211" customFormat="1" x14ac:dyDescent="0.25"/>
    <row r="212" customFormat="1" x14ac:dyDescent="0.25"/>
    <row r="213" customFormat="1" x14ac:dyDescent="0.25"/>
    <row r="214" customFormat="1" x14ac:dyDescent="0.25"/>
    <row r="215" customFormat="1" x14ac:dyDescent="0.25"/>
    <row r="216" customFormat="1" x14ac:dyDescent="0.25"/>
    <row r="217" customFormat="1" x14ac:dyDescent="0.25"/>
    <row r="218" customFormat="1" x14ac:dyDescent="0.25"/>
    <row r="219" customFormat="1" x14ac:dyDescent="0.25"/>
    <row r="220" customFormat="1" x14ac:dyDescent="0.25"/>
    <row r="221" customFormat="1" x14ac:dyDescent="0.25"/>
    <row r="222" customFormat="1" x14ac:dyDescent="0.25"/>
    <row r="223" customFormat="1" x14ac:dyDescent="0.25"/>
    <row r="224" customFormat="1" x14ac:dyDescent="0.25"/>
  </sheetData>
  <sheetProtection algorithmName="SHA-512" hashValue="F4eD1fOhjpy6oFLMdr0BBikbmUpl0XiVJMbXJwrPkydQNDCUa/PmlVm9ZI1OFGFFoEGLlzFOhB7jGqshrTcp9Q==" saltValue="+2IlO0k9JKDk4KK6ivtcqg==" spinCount="100000" sheet="1" objects="1" scenarios="1"/>
  <mergeCells count="6">
    <mergeCell ref="H26:I26"/>
    <mergeCell ref="D4:F4"/>
    <mergeCell ref="G4:I4"/>
    <mergeCell ref="E26:F26"/>
    <mergeCell ref="B24:C24"/>
    <mergeCell ref="B15:C15"/>
  </mergeCells>
  <pageMargins left="0.62992125984251968" right="0.23622047244094491" top="0.74803149606299213" bottom="0.74803149606299213" header="0.31496062992125984" footer="0.31496062992125984"/>
  <pageSetup paperSize="9" scale="87" orientation="portrait" r:id="rId1"/>
  <headerFooter>
    <oddHeader>&amp;C&amp;"-,Regular"&amp;12www.luke.fi/poikimavali</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ul9"/>
  <dimension ref="A1:M21"/>
  <sheetViews>
    <sheetView workbookViewId="0">
      <selection activeCell="A2" sqref="A2"/>
    </sheetView>
  </sheetViews>
  <sheetFormatPr defaultRowHeight="13.2" x14ac:dyDescent="0.25"/>
  <cols>
    <col min="1" max="1" width="16.109375" customWidth="1"/>
    <col min="2" max="2" width="10.5546875" customWidth="1"/>
    <col min="3" max="3" width="11.5546875" customWidth="1"/>
    <col min="4" max="4" width="13.21875" customWidth="1"/>
    <col min="5" max="5" width="16.109375" customWidth="1"/>
    <col min="6" max="6" width="10.5546875" hidden="1" customWidth="1"/>
    <col min="8" max="8" width="17.88671875" hidden="1" customWidth="1"/>
    <col min="9" max="9" width="10.88671875" hidden="1" customWidth="1"/>
  </cols>
  <sheetData>
    <row r="1" spans="1:13" ht="20.100000000000001" customHeight="1" x14ac:dyDescent="0.35">
      <c r="A1" s="24" t="s">
        <v>44</v>
      </c>
      <c r="C1" s="216" t="s">
        <v>144</v>
      </c>
      <c r="D1" s="216"/>
    </row>
    <row r="2" spans="1:13" ht="20.100000000000001" customHeight="1" x14ac:dyDescent="0.25">
      <c r="A2" s="2"/>
      <c r="C2" s="172" t="s">
        <v>153</v>
      </c>
      <c r="D2" s="173" t="s">
        <v>152</v>
      </c>
    </row>
    <row r="3" spans="1:13" ht="20.100000000000001" customHeight="1" x14ac:dyDescent="0.3">
      <c r="A3" s="115" t="s">
        <v>137</v>
      </c>
      <c r="B3" s="8"/>
      <c r="C3" s="171">
        <v>44924</v>
      </c>
      <c r="D3" s="171">
        <v>44945</v>
      </c>
      <c r="E3" s="115" t="s">
        <v>138</v>
      </c>
      <c r="F3" s="137" t="s">
        <v>115</v>
      </c>
      <c r="H3" s="138" t="s">
        <v>136</v>
      </c>
    </row>
    <row r="4" spans="1:13" ht="39.6" customHeight="1" x14ac:dyDescent="0.3">
      <c r="A4" s="157">
        <v>3</v>
      </c>
      <c r="B4" s="8"/>
      <c r="C4" s="54" t="s">
        <v>116</v>
      </c>
      <c r="D4" s="54" t="s">
        <v>27</v>
      </c>
      <c r="E4" s="157">
        <v>3</v>
      </c>
      <c r="F4" s="136"/>
      <c r="H4" t="s">
        <v>128</v>
      </c>
    </row>
    <row r="5" spans="1:13" ht="20.100000000000001" customHeight="1" x14ac:dyDescent="0.3">
      <c r="A5" s="23"/>
      <c r="B5" s="8"/>
      <c r="C5" s="54" t="s">
        <v>53</v>
      </c>
      <c r="D5" s="54" t="s">
        <v>54</v>
      </c>
      <c r="E5" s="1"/>
      <c r="J5" s="183"/>
      <c r="K5" s="183"/>
    </row>
    <row r="6" spans="1:13" ht="20.100000000000001" customHeight="1" x14ac:dyDescent="0.3">
      <c r="A6" s="8" t="s">
        <v>45</v>
      </c>
      <c r="B6" s="8">
        <v>1</v>
      </c>
      <c r="C6" s="8">
        <v>660</v>
      </c>
      <c r="D6" s="55">
        <v>0</v>
      </c>
      <c r="E6" s="8"/>
      <c r="F6" s="56">
        <v>533</v>
      </c>
      <c r="H6" s="139" t="s">
        <v>5</v>
      </c>
      <c r="I6" s="181" t="s">
        <v>129</v>
      </c>
      <c r="J6" s="184"/>
      <c r="K6" s="184"/>
    </row>
    <row r="7" spans="1:13" ht="20.100000000000001" customHeight="1" x14ac:dyDescent="0.3">
      <c r="A7" s="8" t="s">
        <v>46</v>
      </c>
      <c r="B7" s="8">
        <v>2</v>
      </c>
      <c r="C7" s="8">
        <v>0</v>
      </c>
      <c r="D7" s="8">
        <v>8.5999999999999993E-2</v>
      </c>
      <c r="E7" s="135"/>
      <c r="F7" s="8">
        <v>7.5999999999999998E-2</v>
      </c>
      <c r="H7" s="134" t="s">
        <v>127</v>
      </c>
      <c r="I7" s="182" t="s">
        <v>130</v>
      </c>
      <c r="J7" s="184"/>
      <c r="K7" s="184"/>
    </row>
    <row r="8" spans="1:13" ht="20.100000000000001" customHeight="1" x14ac:dyDescent="0.3">
      <c r="A8" s="8" t="s">
        <v>47</v>
      </c>
      <c r="B8" s="8">
        <v>3</v>
      </c>
      <c r="C8" s="8">
        <v>0</v>
      </c>
      <c r="D8" s="55">
        <v>9.2999999999999999E-2</v>
      </c>
      <c r="E8" s="135"/>
      <c r="F8" s="8">
        <v>8.3000000000000004E-2</v>
      </c>
      <c r="H8" s="134" t="s">
        <v>120</v>
      </c>
      <c r="I8" s="182" t="s">
        <v>130</v>
      </c>
      <c r="J8" s="184"/>
      <c r="K8" s="184"/>
    </row>
    <row r="9" spans="1:13" ht="20.100000000000001" customHeight="1" x14ac:dyDescent="0.3">
      <c r="A9" s="8" t="s">
        <v>79</v>
      </c>
      <c r="B9" s="8">
        <v>4</v>
      </c>
      <c r="C9" s="8">
        <v>0</v>
      </c>
      <c r="D9" s="55">
        <v>0.10299999999999999</v>
      </c>
      <c r="E9" s="135"/>
      <c r="F9" s="8">
        <v>9.2999999999999999E-2</v>
      </c>
      <c r="H9" s="134" t="s">
        <v>121</v>
      </c>
      <c r="I9" s="182" t="s">
        <v>131</v>
      </c>
      <c r="J9" s="184"/>
      <c r="K9" s="184"/>
      <c r="M9" s="184"/>
    </row>
    <row r="10" spans="1:13" ht="20.100000000000001" customHeight="1" x14ac:dyDescent="0.3">
      <c r="A10" s="8" t="s">
        <v>48</v>
      </c>
      <c r="B10" s="8">
        <v>5</v>
      </c>
      <c r="C10" s="8">
        <v>0</v>
      </c>
      <c r="D10" s="55">
        <v>0.11</v>
      </c>
      <c r="E10" s="135"/>
      <c r="F10" s="8">
        <v>0.123</v>
      </c>
      <c r="H10" s="134" t="s">
        <v>122</v>
      </c>
      <c r="I10" s="182" t="s">
        <v>132</v>
      </c>
      <c r="J10" s="184"/>
      <c r="K10" s="184"/>
    </row>
    <row r="11" spans="1:13" ht="20.100000000000001" customHeight="1" x14ac:dyDescent="0.3">
      <c r="A11" s="8" t="s">
        <v>49</v>
      </c>
      <c r="B11" s="8">
        <v>6</v>
      </c>
      <c r="C11" s="8">
        <v>0</v>
      </c>
      <c r="D11" s="55">
        <v>0.17599999999999999</v>
      </c>
      <c r="E11" s="135"/>
      <c r="F11" s="8">
        <v>0.14000000000000001</v>
      </c>
      <c r="H11" s="134" t="s">
        <v>123</v>
      </c>
      <c r="I11" s="182" t="s">
        <v>133</v>
      </c>
      <c r="J11" s="184"/>
      <c r="K11" s="184"/>
    </row>
    <row r="12" spans="1:13" ht="20.100000000000001" customHeight="1" x14ac:dyDescent="0.3">
      <c r="A12" s="8" t="s">
        <v>50</v>
      </c>
      <c r="B12" s="8">
        <v>7</v>
      </c>
      <c r="C12" s="8">
        <v>0</v>
      </c>
      <c r="D12" s="55">
        <v>0.17599999999999999</v>
      </c>
      <c r="E12" s="135"/>
      <c r="F12" s="8">
        <v>0.16600000000000001</v>
      </c>
      <c r="H12" s="134" t="s">
        <v>124</v>
      </c>
      <c r="I12" s="182" t="s">
        <v>133</v>
      </c>
      <c r="J12" s="184"/>
      <c r="K12" s="184"/>
    </row>
    <row r="13" spans="1:13" ht="20.100000000000001" customHeight="1" x14ac:dyDescent="0.3">
      <c r="A13" s="8" t="s">
        <v>51</v>
      </c>
      <c r="B13" s="8">
        <v>8</v>
      </c>
      <c r="C13" s="8">
        <v>0</v>
      </c>
      <c r="D13" s="55">
        <v>0.223</v>
      </c>
      <c r="E13" s="135"/>
      <c r="F13" s="8">
        <v>0.21299999999999999</v>
      </c>
      <c r="H13" s="134" t="s">
        <v>125</v>
      </c>
      <c r="I13" s="182" t="s">
        <v>134</v>
      </c>
      <c r="J13" s="184"/>
      <c r="K13" s="184"/>
    </row>
    <row r="14" spans="1:13" ht="20.100000000000001" customHeight="1" x14ac:dyDescent="0.3">
      <c r="A14" s="8" t="s">
        <v>52</v>
      </c>
      <c r="B14" s="8">
        <v>9</v>
      </c>
      <c r="C14" s="8">
        <v>0</v>
      </c>
      <c r="D14" s="55">
        <v>0.315</v>
      </c>
      <c r="E14" s="135"/>
      <c r="F14" s="8">
        <v>0.30499999999999999</v>
      </c>
      <c r="H14" s="134" t="s">
        <v>126</v>
      </c>
      <c r="I14" s="134" t="s">
        <v>135</v>
      </c>
      <c r="J14" s="135"/>
    </row>
    <row r="16" spans="1:13" x14ac:dyDescent="0.25">
      <c r="A16" s="1"/>
    </row>
    <row r="17" spans="1:1" x14ac:dyDescent="0.25">
      <c r="A17" s="44"/>
    </row>
    <row r="18" spans="1:1" x14ac:dyDescent="0.25">
      <c r="A18" s="1"/>
    </row>
    <row r="19" spans="1:1" x14ac:dyDescent="0.25">
      <c r="A19" s="1"/>
    </row>
    <row r="20" spans="1:1" x14ac:dyDescent="0.25">
      <c r="A20" s="1"/>
    </row>
    <row r="21" spans="1:1" x14ac:dyDescent="0.25">
      <c r="A21" s="1"/>
    </row>
  </sheetData>
  <mergeCells count="1">
    <mergeCell ref="C1:D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ul10"/>
  <dimension ref="A1:T7"/>
  <sheetViews>
    <sheetView workbookViewId="0">
      <selection activeCell="A2" sqref="A2"/>
    </sheetView>
  </sheetViews>
  <sheetFormatPr defaultRowHeight="13.2" x14ac:dyDescent="0.25"/>
  <cols>
    <col min="2" max="5" width="16.5546875" customWidth="1"/>
  </cols>
  <sheetData>
    <row r="1" spans="1:20" ht="18" x14ac:dyDescent="0.35">
      <c r="A1" s="24" t="s">
        <v>82</v>
      </c>
    </row>
    <row r="3" spans="1:20" s="8" customFormat="1" ht="15.6" x14ac:dyDescent="0.3">
      <c r="B3" s="8" t="s">
        <v>148</v>
      </c>
      <c r="F3" s="25"/>
      <c r="G3" s="57"/>
      <c r="H3" s="174"/>
      <c r="I3" s="57"/>
      <c r="J3" s="57"/>
      <c r="K3" s="57"/>
      <c r="L3" s="57"/>
      <c r="M3" s="57"/>
      <c r="N3" s="57"/>
      <c r="O3" s="57"/>
      <c r="P3" s="57"/>
      <c r="Q3" s="57"/>
      <c r="R3" s="57"/>
      <c r="S3" s="57"/>
      <c r="T3" s="57"/>
    </row>
    <row r="4" spans="1:20" s="8" customFormat="1" ht="15.6" x14ac:dyDescent="0.3"/>
    <row r="5" spans="1:20" s="8" customFormat="1" ht="15.6" x14ac:dyDescent="0.3">
      <c r="D5" s="178" t="s">
        <v>137</v>
      </c>
      <c r="E5" s="177" t="s">
        <v>138</v>
      </c>
    </row>
    <row r="6" spans="1:20" s="8" customFormat="1" ht="15.6" x14ac:dyDescent="0.3">
      <c r="B6" s="8" t="s">
        <v>63</v>
      </c>
      <c r="D6" s="176">
        <f>746*POWER('Lähtötiedot ja kate'!B5,-0.581)</f>
        <v>62.684147933272911</v>
      </c>
      <c r="E6" s="176">
        <f>746*POWER('Lähtötiedot ja kate'!F5,-0.581)</f>
        <v>62.684147933272911</v>
      </c>
      <c r="F6" s="56"/>
      <c r="G6" s="56"/>
      <c r="H6" s="56"/>
      <c r="K6" s="56"/>
      <c r="L6" s="56"/>
      <c r="M6" s="56"/>
      <c r="N6" s="56"/>
      <c r="O6" s="56"/>
      <c r="P6" s="56"/>
      <c r="Q6" s="56"/>
      <c r="R6" s="56"/>
      <c r="S6" s="56"/>
      <c r="T6" s="56"/>
    </row>
    <row r="7" spans="1:20" s="8" customFormat="1" ht="15.6" x14ac:dyDescent="0.3"/>
  </sheetData>
  <sheetProtection algorithmName="SHA-512" hashValue="ot8MyITp4Bh5+xc4jA4wi8wJM3ysJeLldOMpWnC5Amq/2JRTaW8lXyZ0pYXdw+U//UYzHHzgXG2iPLfiFC3KVg==" saltValue="QC+KsIAQG9reVP757bihIQ==" spinCount="100000" sheet="1" objects="1" scenarios="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ul6"/>
  <dimension ref="A1:H9"/>
  <sheetViews>
    <sheetView workbookViewId="0">
      <selection activeCell="A2" sqref="A2"/>
    </sheetView>
  </sheetViews>
  <sheetFormatPr defaultRowHeight="13.2" x14ac:dyDescent="0.25"/>
  <cols>
    <col min="2" max="4" width="9.44140625" bestFit="1" customWidth="1"/>
    <col min="5" max="5" width="13.44140625" customWidth="1"/>
    <col min="6" max="6" width="9.44140625" bestFit="1" customWidth="1"/>
    <col min="7" max="7" width="9.5546875" bestFit="1" customWidth="1"/>
    <col min="8" max="8" width="9.44140625" bestFit="1" customWidth="1"/>
  </cols>
  <sheetData>
    <row r="1" spans="1:8" ht="18" x14ac:dyDescent="0.35">
      <c r="A1" s="24" t="s">
        <v>145</v>
      </c>
    </row>
    <row r="3" spans="1:8" s="8" customFormat="1" ht="15.6" x14ac:dyDescent="0.3">
      <c r="A3" s="8" t="s">
        <v>73</v>
      </c>
      <c r="B3" s="8" t="s">
        <v>149</v>
      </c>
    </row>
    <row r="4" spans="1:8" s="8" customFormat="1" ht="15.6" x14ac:dyDescent="0.3"/>
    <row r="5" spans="1:8" s="8" customFormat="1" ht="15.6" x14ac:dyDescent="0.3">
      <c r="A5" s="8" t="s">
        <v>147</v>
      </c>
    </row>
    <row r="6" spans="1:8" s="8" customFormat="1" ht="15.6" x14ac:dyDescent="0.3"/>
    <row r="7" spans="1:8" s="8" customFormat="1" ht="15.6" x14ac:dyDescent="0.3">
      <c r="E7" s="178" t="s">
        <v>137</v>
      </c>
      <c r="F7" s="177" t="s">
        <v>138</v>
      </c>
    </row>
    <row r="8" spans="1:8" s="8" customFormat="1" ht="15.6" x14ac:dyDescent="0.3">
      <c r="A8" s="8" t="s">
        <v>81</v>
      </c>
      <c r="C8" s="4"/>
      <c r="D8" s="4"/>
      <c r="E8" s="175">
        <f>(((1295*POWER('Lähtötiedot ja kate'!B5,-0.383)))/103.41)*112.65</f>
        <v>275.68077359460813</v>
      </c>
      <c r="F8" s="175">
        <f>(((1295*POWER('Lähtötiedot ja kate'!F5,-0.383)))/103.41)*112.65</f>
        <v>275.68077359460813</v>
      </c>
      <c r="G8" s="4"/>
      <c r="H8" s="4"/>
    </row>
    <row r="9" spans="1:8" s="8" customFormat="1" ht="15.6" x14ac:dyDescent="0.3"/>
  </sheetData>
  <sheetProtection algorithmName="SHA-512" hashValue="bywRxSJZqBQIF95reQ0eYRDayigU5ucoDXlt9wlI7v0Do5dvMik1fxRBvGdLvbvjEGmK42nvegyQ+1c+JRXlvg==" saltValue="ZFZZYyvnvJ7kSsvq7KLQTw==" spinCount="100000" sheet="1" objects="1" scenarios="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ul11"/>
  <dimension ref="A1:W66"/>
  <sheetViews>
    <sheetView zoomScaleNormal="100" workbookViewId="0">
      <selection activeCell="A2" sqref="A2"/>
    </sheetView>
  </sheetViews>
  <sheetFormatPr defaultColWidth="9.109375" defaultRowHeight="13.2" x14ac:dyDescent="0.25"/>
  <cols>
    <col min="1" max="1" width="13.44140625" style="3" customWidth="1"/>
    <col min="2" max="3" width="15.88671875" style="3" customWidth="1"/>
    <col min="4" max="4" width="15.88671875" style="5" customWidth="1"/>
    <col min="5" max="9" width="15.88671875" style="3" customWidth="1"/>
    <col min="10" max="11" width="9.109375" style="3"/>
    <col min="12" max="12" width="10.44140625" style="3" bestFit="1" customWidth="1"/>
    <col min="13" max="16384" width="9.109375" style="3"/>
  </cols>
  <sheetData>
    <row r="1" spans="1:14" ht="18" x14ac:dyDescent="0.35">
      <c r="A1" s="58" t="s">
        <v>80</v>
      </c>
    </row>
    <row r="2" spans="1:14" ht="18" x14ac:dyDescent="0.35">
      <c r="A2" s="58"/>
    </row>
    <row r="3" spans="1:14" s="60" customFormat="1" ht="15.6" x14ac:dyDescent="0.3">
      <c r="A3" s="59" t="s">
        <v>104</v>
      </c>
      <c r="D3" s="61"/>
    </row>
    <row r="4" spans="1:14" s="60" customFormat="1" ht="15.6" x14ac:dyDescent="0.3">
      <c r="A4" s="59"/>
      <c r="D4" s="61"/>
    </row>
    <row r="5" spans="1:14" s="60" customFormat="1" ht="15.6" x14ac:dyDescent="0.3">
      <c r="B5" s="60" t="s">
        <v>86</v>
      </c>
      <c r="C5" s="60">
        <v>24</v>
      </c>
      <c r="D5" s="61"/>
      <c r="E5" s="154" t="s">
        <v>137</v>
      </c>
      <c r="G5" s="154" t="s">
        <v>138</v>
      </c>
      <c r="I5" s="62"/>
    </row>
    <row r="6" spans="1:14" s="60" customFormat="1" ht="15.6" x14ac:dyDescent="0.3">
      <c r="C6" s="60">
        <v>26</v>
      </c>
      <c r="D6" s="63"/>
      <c r="E6" s="60" t="s">
        <v>91</v>
      </c>
      <c r="G6" s="60" t="s">
        <v>91</v>
      </c>
      <c r="I6" s="60" t="s">
        <v>95</v>
      </c>
      <c r="K6" s="62"/>
      <c r="L6" s="64">
        <f>64.7608650317362*0.1</f>
        <v>6.4760865031736206</v>
      </c>
    </row>
    <row r="7" spans="1:14" s="60" customFormat="1" ht="15.6" x14ac:dyDescent="0.3">
      <c r="C7" s="60">
        <v>28</v>
      </c>
      <c r="D7" s="63"/>
      <c r="E7" s="60">
        <f>'Lähtötiedot ja kate'!B19</f>
        <v>403</v>
      </c>
      <c r="G7" s="66">
        <f>'Lähtötiedot ja kate'!F19</f>
        <v>393</v>
      </c>
      <c r="J7" s="59" t="s">
        <v>92</v>
      </c>
      <c r="K7" s="62"/>
      <c r="L7" s="65">
        <f>64%*L6</f>
        <v>4.1446953620311175</v>
      </c>
    </row>
    <row r="8" spans="1:14" s="60" customFormat="1" ht="15.6" x14ac:dyDescent="0.3">
      <c r="C8" s="60">
        <v>30</v>
      </c>
      <c r="D8" s="63"/>
      <c r="E8" s="60" t="s">
        <v>103</v>
      </c>
      <c r="G8" s="60" t="s">
        <v>103</v>
      </c>
      <c r="J8" s="59" t="s">
        <v>93</v>
      </c>
      <c r="L8" s="65">
        <f>35%*L6</f>
        <v>2.2666302761107668</v>
      </c>
    </row>
    <row r="9" spans="1:14" s="60" customFormat="1" ht="15.6" x14ac:dyDescent="0.3">
      <c r="C9" s="60">
        <v>32</v>
      </c>
      <c r="D9" s="61"/>
      <c r="E9" s="66">
        <f>(('Lähtötiedot ja kate'!B19-'Lähtötiedot ja kate'!B20)/'Lähtötiedot ja kate'!B19)*365</f>
        <v>310.6575682382134</v>
      </c>
      <c r="G9" s="66">
        <f>(('Lähtötiedot ja kate'!F19-'Lähtötiedot ja kate'!F20)/'Lähtötiedot ja kate'!F19)*365</f>
        <v>309.27480916030532</v>
      </c>
      <c r="J9" s="67" t="s">
        <v>94</v>
      </c>
      <c r="K9" s="68"/>
      <c r="L9" s="65">
        <f>1%*L6</f>
        <v>6.4760865031736212E-2</v>
      </c>
      <c r="M9" s="65"/>
    </row>
    <row r="10" spans="1:14" s="60" customFormat="1" ht="15.6" x14ac:dyDescent="0.3">
      <c r="C10" s="60">
        <v>34</v>
      </c>
      <c r="D10" s="61"/>
      <c r="E10" s="60" t="s">
        <v>74</v>
      </c>
      <c r="G10" s="60" t="s">
        <v>74</v>
      </c>
      <c r="N10" s="56"/>
    </row>
    <row r="11" spans="1:14" s="60" customFormat="1" ht="15.6" x14ac:dyDescent="0.3">
      <c r="C11" s="60">
        <v>36</v>
      </c>
      <c r="D11" s="61"/>
      <c r="E11" s="60">
        <v>365</v>
      </c>
      <c r="G11" s="60">
        <v>365</v>
      </c>
      <c r="I11" s="60" t="s">
        <v>96</v>
      </c>
      <c r="L11" s="66">
        <f>1945*0.1</f>
        <v>194.5</v>
      </c>
      <c r="N11" s="60" t="s">
        <v>117</v>
      </c>
    </row>
    <row r="12" spans="1:14" s="60" customFormat="1" ht="15.6" x14ac:dyDescent="0.3">
      <c r="C12" s="60">
        <v>38</v>
      </c>
      <c r="D12" s="61"/>
      <c r="J12" s="59" t="s">
        <v>92</v>
      </c>
      <c r="L12" s="66">
        <f>64%*L11</f>
        <v>124.48</v>
      </c>
    </row>
    <row r="13" spans="1:14" s="60" customFormat="1" ht="15.6" x14ac:dyDescent="0.3">
      <c r="C13" s="60">
        <v>40</v>
      </c>
      <c r="J13" s="59" t="s">
        <v>93</v>
      </c>
      <c r="L13" s="66">
        <f>35%*L11</f>
        <v>68.074999999999989</v>
      </c>
      <c r="M13" s="68"/>
      <c r="N13" s="68"/>
    </row>
    <row r="14" spans="1:14" s="60" customFormat="1" ht="15.6" x14ac:dyDescent="0.3">
      <c r="I14" s="68"/>
      <c r="J14" s="67" t="s">
        <v>94</v>
      </c>
      <c r="K14" s="68"/>
      <c r="L14" s="63">
        <f>1%*L11</f>
        <v>1.9450000000000001</v>
      </c>
      <c r="M14" s="68"/>
      <c r="N14" s="68"/>
    </row>
    <row r="15" spans="1:14" s="60" customFormat="1" ht="15.6" x14ac:dyDescent="0.3">
      <c r="C15" s="60" t="s">
        <v>87</v>
      </c>
      <c r="D15" s="61"/>
      <c r="G15" s="60" t="s">
        <v>87</v>
      </c>
      <c r="J15" s="61"/>
      <c r="L15" s="68"/>
      <c r="M15" s="68"/>
      <c r="N15" s="66"/>
    </row>
    <row r="16" spans="1:14" s="60" customFormat="1" ht="15.6" x14ac:dyDescent="0.3">
      <c r="B16" s="177" t="s">
        <v>137</v>
      </c>
      <c r="C16" s="156">
        <f>IF('Lähtötiedot ja kate'!B13&lt;=24,24,IF('Lähtötiedot ja kate'!B13&gt;24,IF('Lähtötiedot ja kate'!B13&lt;=25,25,IF('Lähtötiedot ja kate'!B13&gt;25,IF('Lähtötiedot ja kate'!B13&lt;=26,26,IF('Lähtötiedot ja kate'!B13&gt;26,IF('Lähtötiedot ja kate'!B13&lt;=27,27,IF('Lähtötiedot ja kate'!B13&gt;27,IF('Lähtötiedot ja kate'!B13&lt;=28,28,IF('Lähtötiedot ja kate'!B13&gt;28,IF('Lähtötiedot ja kate'!B13&lt;=29,29,IF('Lähtötiedot ja kate'!B13&gt;29,IF('Lähtötiedot ja kate'!B13&lt;=30,30,IF('Lähtötiedot ja kate'!B13&gt;30,IF('Lähtötiedot ja kate'!B13&lt;=31,31,IF('Lähtötiedot ja kate'!B13&gt;31,IF('Lähtötiedot ja kate'!B13&lt;=32,32,IF('Lähtötiedot ja kate'!B13&gt;32,IF('Lähtötiedot ja kate'!B13&lt;=33,33,IF('Lähtötiedot ja kate'!B13&gt;33,IF('Lähtötiedot ja kate'!B13&lt;=34,34,IF('Lähtötiedot ja kate'!B13&gt;34,IF('Lähtötiedot ja kate'!B13&lt;=35,35,IF('Lähtötiedot ja kate'!B13&gt;35,IF('Lähtötiedot ja kate'!B13&lt;=36,36,IF('Lähtötiedot ja kate'!B13&gt;36,IF('Lähtötiedot ja kate'!B13&lt;=37,37,IF('Lähtötiedot ja kate'!B13&gt;37,IF('Lähtötiedot ja kate'!B13&lt;=38,38,IF('Lähtötiedot ja kate'!B13&gt;38,IF('Lähtötiedot ja kate'!B13&lt;=39,39,40)))))))))))))))))))))))))))))))</f>
        <v>32</v>
      </c>
      <c r="D16" s="60" t="s">
        <v>108</v>
      </c>
      <c r="F16" s="177" t="s">
        <v>138</v>
      </c>
      <c r="G16" s="156">
        <f>IF('Lähtötiedot ja kate'!F13&lt;=24,24,IF('Lähtötiedot ja kate'!F13&gt;24,IF('Lähtötiedot ja kate'!F13&lt;=25,25,IF('Lähtötiedot ja kate'!F13&gt;25,IF('Lähtötiedot ja kate'!F13&lt;=26,26,IF('Lähtötiedot ja kate'!F13&gt;26,IF('Lähtötiedot ja kate'!F13&lt;=27,27,IF('Lähtötiedot ja kate'!F13&gt;27,IF('Lähtötiedot ja kate'!F13&lt;=28,28,IF('Lähtötiedot ja kate'!F13&gt;28,IF('Lähtötiedot ja kate'!F13&lt;=29,29,IF('Lähtötiedot ja kate'!F13&gt;29,IF('Lähtötiedot ja kate'!F13&lt;=30,30,IF('Lähtötiedot ja kate'!F13&gt;30,IF('Lähtötiedot ja kate'!F13&lt;=31,31,IF('Lähtötiedot ja kate'!F13&gt;31,IF('Lähtötiedot ja kate'!F13&lt;=32,32,IF('Lähtötiedot ja kate'!F13&gt;32,IF('Lähtötiedot ja kate'!F13&lt;=33,33,IF('Lähtötiedot ja kate'!F13&gt;33,IF('Lähtötiedot ja kate'!F13&lt;=34,34,IF('Lähtötiedot ja kate'!F13&gt;34,IF('Lähtötiedot ja kate'!F13&lt;=35,35,IF('Lähtötiedot ja kate'!F13&gt;35,IF('Lähtötiedot ja kate'!F13&lt;=36,36,IF('Lähtötiedot ja kate'!F13&gt;36,IF('Lähtötiedot ja kate'!F13&lt;=37,37,IF('Lähtötiedot ja kate'!F13&gt;37,IF('Lähtötiedot ja kate'!F13&lt;=38,38,IF('Lähtötiedot ja kate'!F13&gt;38,IF('Lähtötiedot ja kate'!F13&lt;=39,39,40)))))))))))))))))))))))))))))))</f>
        <v>32</v>
      </c>
      <c r="H16" s="60" t="s">
        <v>108</v>
      </c>
      <c r="J16" s="66"/>
      <c r="L16" s="66"/>
      <c r="M16" s="66"/>
      <c r="N16" s="66"/>
    </row>
    <row r="17" spans="2:23" s="60" customFormat="1" ht="15.6" x14ac:dyDescent="0.3">
      <c r="D17" s="61"/>
      <c r="H17" s="61"/>
      <c r="J17" s="66"/>
      <c r="L17" s="66"/>
      <c r="M17" s="66"/>
      <c r="N17" s="66"/>
    </row>
    <row r="18" spans="2:23" s="60" customFormat="1" ht="15.6" x14ac:dyDescent="0.3">
      <c r="B18" s="60" t="s">
        <v>39</v>
      </c>
      <c r="C18" s="69"/>
      <c r="D18" s="70">
        <f>LOOKUP($C$16,C25:C41,D25:D41)</f>
        <v>11.544315321977713</v>
      </c>
      <c r="E18" s="66">
        <f>(D18*$E$9)+(L7*(E11-E9))+(L12/E7)*365*1.05</f>
        <v>3929.9413031351892</v>
      </c>
      <c r="F18" s="60" t="s">
        <v>39</v>
      </c>
      <c r="G18" s="69"/>
      <c r="H18" s="70">
        <f>LOOKUP($G$16,C25:C41,D25:D41)</f>
        <v>11.544315321977713</v>
      </c>
      <c r="I18" s="66">
        <f>(H18*$G$9)+(L7*(G11-G9))+(L12/G7)*365*1.05</f>
        <v>3922.721613837818</v>
      </c>
      <c r="J18" s="66"/>
      <c r="L18" s="66"/>
      <c r="M18" s="66"/>
      <c r="N18" s="66"/>
    </row>
    <row r="19" spans="2:23" s="60" customFormat="1" ht="15.6" x14ac:dyDescent="0.3">
      <c r="B19" s="60" t="s">
        <v>41</v>
      </c>
      <c r="C19" s="69"/>
      <c r="D19" s="70">
        <f>LOOKUP($C$16,C44:C60,D44:D60)</f>
        <v>8.7596561129153425</v>
      </c>
      <c r="E19" s="66">
        <f>(D19*$E$9)+(L8*(E11-E9))+(L13/E7)*365</f>
        <v>2906.0836851197573</v>
      </c>
      <c r="F19" s="60" t="s">
        <v>41</v>
      </c>
      <c r="G19" s="69"/>
      <c r="H19" s="70">
        <f>LOOKUP($G$16,C44:C60,D44:D60)</f>
        <v>8.7596561129153425</v>
      </c>
      <c r="I19" s="66">
        <f>(H19*$G$9)+(L8*(G11-G9))+(L13/G7)*365</f>
        <v>2898.6742501046333</v>
      </c>
      <c r="J19" s="66"/>
      <c r="L19" s="66"/>
      <c r="M19" s="66"/>
      <c r="N19" s="66"/>
    </row>
    <row r="20" spans="2:23" s="60" customFormat="1" ht="15.6" x14ac:dyDescent="0.3">
      <c r="B20" s="60" t="s">
        <v>57</v>
      </c>
      <c r="C20" s="69"/>
      <c r="D20" s="70">
        <f>LOOKUP($C$16,G25:G41,H25:H41)</f>
        <v>1.4551110028351191</v>
      </c>
      <c r="E20" s="66">
        <f>D20*$E$9</f>
        <v>452.04124565742615</v>
      </c>
      <c r="F20" s="60" t="s">
        <v>57</v>
      </c>
      <c r="G20" s="69"/>
      <c r="H20" s="70">
        <f>LOOKUP($G$16,G25:G41,H25:H41)</f>
        <v>1.4551110028351191</v>
      </c>
      <c r="I20" s="66">
        <f>H20*$G$9</f>
        <v>450.02917770889195</v>
      </c>
      <c r="J20" s="66"/>
      <c r="L20" s="66"/>
      <c r="M20" s="66"/>
      <c r="N20" s="66"/>
    </row>
    <row r="21" spans="2:23" s="60" customFormat="1" ht="15.6" x14ac:dyDescent="0.3">
      <c r="B21" s="60" t="s">
        <v>58</v>
      </c>
      <c r="C21" s="69"/>
      <c r="D21" s="70">
        <f>LOOKUP($C$16,G44:G60,H44:H60)</f>
        <v>0.2</v>
      </c>
      <c r="E21" s="66">
        <f>(D21*$E$9)+(L9*(E11-E9))+(L14/E7)*365</f>
        <v>67.412377032742</v>
      </c>
      <c r="F21" s="60" t="s">
        <v>58</v>
      </c>
      <c r="G21" s="69"/>
      <c r="H21" s="70">
        <f>LOOKUP($G$16,G44:G60,H44:H60)</f>
        <v>0.2</v>
      </c>
      <c r="I21" s="66">
        <f>(H21*$G$9)+(L9*(G11-G9))+(L14/G7)*365</f>
        <v>67.27019833128503</v>
      </c>
    </row>
    <row r="22" spans="2:23" s="60" customFormat="1" ht="15.6" x14ac:dyDescent="0.3">
      <c r="C22" s="69"/>
      <c r="D22" s="70"/>
      <c r="E22" s="66">
        <f>E18+E19+E20+E21</f>
        <v>7355.4786109451152</v>
      </c>
      <c r="G22" s="69"/>
      <c r="H22" s="70"/>
      <c r="I22" s="66">
        <f>I18+I19+I20+I21</f>
        <v>7338.6952399826287</v>
      </c>
    </row>
    <row r="23" spans="2:23" s="60" customFormat="1" ht="15.6" x14ac:dyDescent="0.3">
      <c r="D23" s="61"/>
    </row>
    <row r="24" spans="2:23" s="60" customFormat="1" ht="15.6" x14ac:dyDescent="0.3">
      <c r="B24" s="60" t="s">
        <v>39</v>
      </c>
      <c r="C24" s="60" t="s">
        <v>87</v>
      </c>
      <c r="D24" s="71" t="s">
        <v>43</v>
      </c>
      <c r="F24" s="60" t="s">
        <v>57</v>
      </c>
      <c r="G24" s="60" t="s">
        <v>87</v>
      </c>
      <c r="H24" s="71" t="s">
        <v>43</v>
      </c>
    </row>
    <row r="25" spans="2:23" s="60" customFormat="1" ht="15.6" x14ac:dyDescent="0.3">
      <c r="C25" s="155">
        <v>24</v>
      </c>
      <c r="D25" s="180">
        <v>11.457748780993402</v>
      </c>
      <c r="G25" s="155">
        <v>24</v>
      </c>
      <c r="H25" s="180">
        <v>0.89588667781995934</v>
      </c>
      <c r="I25" s="179"/>
      <c r="J25" s="179"/>
      <c r="K25" s="179"/>
      <c r="L25" s="179"/>
      <c r="M25" s="179"/>
      <c r="N25" s="179"/>
      <c r="O25" s="179"/>
      <c r="P25" s="179"/>
      <c r="Q25" s="179"/>
      <c r="R25" s="179"/>
      <c r="S25" s="179"/>
      <c r="T25" s="179"/>
      <c r="U25" s="179"/>
      <c r="V25" s="179"/>
      <c r="W25" s="179"/>
    </row>
    <row r="26" spans="2:23" s="60" customFormat="1" ht="15.6" x14ac:dyDescent="0.3">
      <c r="C26" s="155">
        <v>25</v>
      </c>
      <c r="D26" s="180">
        <v>11.502962796107512</v>
      </c>
      <c r="G26" s="155">
        <v>25</v>
      </c>
      <c r="H26" s="180">
        <v>0.94567792767033498</v>
      </c>
      <c r="I26" s="180"/>
      <c r="J26" s="180"/>
      <c r="K26" s="180"/>
      <c r="L26" s="180"/>
      <c r="M26" s="180"/>
      <c r="N26" s="180"/>
      <c r="O26" s="180"/>
      <c r="P26" s="180"/>
      <c r="Q26" s="180"/>
      <c r="R26" s="180"/>
      <c r="S26" s="180"/>
      <c r="T26" s="180"/>
      <c r="U26" s="180"/>
      <c r="V26" s="180"/>
      <c r="W26" s="180"/>
    </row>
    <row r="27" spans="2:23" s="60" customFormat="1" ht="15.6" x14ac:dyDescent="0.3">
      <c r="C27" s="155">
        <v>26</v>
      </c>
      <c r="D27" s="180">
        <v>11.538823230668305</v>
      </c>
      <c r="G27" s="155">
        <v>26</v>
      </c>
      <c r="H27" s="180">
        <v>1.0007336893139953</v>
      </c>
      <c r="I27" s="180"/>
      <c r="J27" s="180"/>
      <c r="K27" s="180"/>
      <c r="L27" s="180"/>
      <c r="M27" s="180"/>
      <c r="N27" s="180"/>
      <c r="O27" s="180"/>
      <c r="P27" s="180"/>
      <c r="Q27" s="180"/>
      <c r="R27" s="180"/>
      <c r="S27" s="180"/>
      <c r="T27" s="180"/>
      <c r="U27" s="180"/>
      <c r="V27" s="180"/>
      <c r="W27" s="180"/>
    </row>
    <row r="28" spans="2:23" s="60" customFormat="1" ht="15.6" x14ac:dyDescent="0.3">
      <c r="C28" s="155">
        <v>27</v>
      </c>
      <c r="D28" s="180">
        <v>11.565172742392534</v>
      </c>
      <c r="G28" s="155">
        <v>27</v>
      </c>
      <c r="H28" s="180">
        <v>1.0606070981183819</v>
      </c>
      <c r="I28" s="180"/>
      <c r="J28" s="180"/>
      <c r="K28" s="180"/>
      <c r="L28" s="180"/>
      <c r="M28" s="180"/>
      <c r="N28" s="180"/>
      <c r="O28" s="180"/>
      <c r="P28" s="180"/>
      <c r="Q28" s="180"/>
      <c r="R28" s="180"/>
      <c r="S28" s="180"/>
      <c r="T28" s="180"/>
      <c r="U28" s="180"/>
      <c r="V28" s="180"/>
      <c r="W28" s="180"/>
    </row>
    <row r="29" spans="2:23" s="60" customFormat="1" ht="15.6" x14ac:dyDescent="0.3">
      <c r="C29" s="155">
        <v>28</v>
      </c>
      <c r="D29" s="180">
        <v>11.581657440463328</v>
      </c>
      <c r="G29" s="155">
        <v>28</v>
      </c>
      <c r="H29" s="180">
        <v>1.1258030639319949</v>
      </c>
    </row>
    <row r="30" spans="2:23" s="60" customFormat="1" ht="15.6" x14ac:dyDescent="0.3">
      <c r="C30" s="155">
        <v>29</v>
      </c>
      <c r="D30" s="180">
        <v>11.588103145699884</v>
      </c>
      <c r="G30" s="155">
        <v>29</v>
      </c>
      <c r="H30" s="180">
        <v>1.1970979680575522</v>
      </c>
      <c r="I30" s="68"/>
    </row>
    <row r="31" spans="2:23" s="60" customFormat="1" ht="15.6" x14ac:dyDescent="0.3">
      <c r="C31" s="155">
        <v>30</v>
      </c>
      <c r="D31" s="180">
        <v>11.584244660363151</v>
      </c>
      <c r="G31" s="155">
        <v>30</v>
      </c>
      <c r="H31" s="180">
        <v>1.2752295945748613</v>
      </c>
      <c r="I31" s="68"/>
    </row>
    <row r="32" spans="2:23" s="60" customFormat="1" ht="15.6" x14ac:dyDescent="0.3">
      <c r="C32" s="155">
        <v>31</v>
      </c>
      <c r="D32" s="180">
        <v>11.569771852700718</v>
      </c>
      <c r="G32" s="155">
        <v>31</v>
      </c>
      <c r="H32" s="180">
        <v>1.3609666438192245</v>
      </c>
      <c r="I32" s="68"/>
    </row>
    <row r="33" spans="2:9" s="60" customFormat="1" ht="15.6" x14ac:dyDescent="0.3">
      <c r="C33" s="155">
        <v>32</v>
      </c>
      <c r="D33" s="180">
        <v>11.544315321977713</v>
      </c>
      <c r="G33" s="155">
        <v>32</v>
      </c>
      <c r="H33" s="180">
        <v>1.4551110028351191</v>
      </c>
      <c r="I33" s="68"/>
    </row>
    <row r="34" spans="2:9" s="60" customFormat="1" ht="15.6" x14ac:dyDescent="0.3">
      <c r="C34" s="155">
        <v>33</v>
      </c>
      <c r="D34" s="180">
        <v>11.507445078968718</v>
      </c>
      <c r="G34" s="155">
        <v>33</v>
      </c>
      <c r="H34" s="180">
        <v>1.5585179189654916</v>
      </c>
      <c r="I34" s="68"/>
    </row>
    <row r="35" spans="2:9" s="60" customFormat="1" ht="15.6" x14ac:dyDescent="0.3">
      <c r="C35" s="155">
        <v>34</v>
      </c>
      <c r="D35" s="180">
        <v>11.458559159599833</v>
      </c>
      <c r="G35" s="155">
        <v>34</v>
      </c>
      <c r="H35" s="180">
        <v>1.6720139474916424</v>
      </c>
      <c r="I35" s="68"/>
    </row>
    <row r="36" spans="2:9" s="60" customFormat="1" ht="15.6" x14ac:dyDescent="0.3">
      <c r="C36" s="155">
        <v>35</v>
      </c>
      <c r="D36" s="180">
        <v>11.397244753558839</v>
      </c>
      <c r="G36" s="155">
        <v>35</v>
      </c>
      <c r="H36" s="180">
        <v>1.7967774674461219</v>
      </c>
      <c r="I36" s="68"/>
    </row>
    <row r="37" spans="2:9" s="60" customFormat="1" ht="15.6" x14ac:dyDescent="0.3">
      <c r="C37" s="155">
        <v>36</v>
      </c>
      <c r="D37" s="180">
        <v>11.322766977094901</v>
      </c>
      <c r="G37" s="155">
        <v>36</v>
      </c>
      <c r="H37" s="180">
        <v>1.9338833824753121</v>
      </c>
      <c r="I37" s="68"/>
    </row>
    <row r="38" spans="2:9" s="60" customFormat="1" ht="15.6" x14ac:dyDescent="0.3">
      <c r="C38" s="155">
        <v>37</v>
      </c>
      <c r="D38" s="180">
        <v>11.234082675487025</v>
      </c>
      <c r="G38" s="155">
        <v>37</v>
      </c>
      <c r="H38" s="180">
        <v>2.0843811895247422</v>
      </c>
      <c r="I38" s="68"/>
    </row>
    <row r="39" spans="2:9" s="60" customFormat="1" ht="15.6" x14ac:dyDescent="0.3">
      <c r="C39" s="155">
        <v>38</v>
      </c>
      <c r="D39" s="180">
        <v>11.130071338159627</v>
      </c>
      <c r="G39" s="155">
        <v>38</v>
      </c>
      <c r="H39" s="180">
        <v>2.249591352237863</v>
      </c>
      <c r="I39" s="68"/>
    </row>
    <row r="40" spans="2:9" s="60" customFormat="1" ht="15.6" x14ac:dyDescent="0.3">
      <c r="C40" s="155">
        <v>39</v>
      </c>
      <c r="D40" s="180">
        <v>11.009367597659439</v>
      </c>
      <c r="G40" s="155">
        <v>39</v>
      </c>
      <c r="H40" s="180">
        <v>2.4310340803866595</v>
      </c>
    </row>
    <row r="41" spans="2:9" s="60" customFormat="1" ht="15.6" x14ac:dyDescent="0.3">
      <c r="C41" s="155">
        <v>40</v>
      </c>
      <c r="D41" s="180">
        <v>10.870260215244109</v>
      </c>
      <c r="G41" s="155">
        <v>40</v>
      </c>
      <c r="H41" s="180">
        <v>2.6304675258492485</v>
      </c>
    </row>
    <row r="42" spans="2:9" s="60" customFormat="1" ht="15.6" x14ac:dyDescent="0.3"/>
    <row r="43" spans="2:9" s="60" customFormat="1" ht="15.6" x14ac:dyDescent="0.3">
      <c r="B43" s="60" t="s">
        <v>40</v>
      </c>
      <c r="C43" s="60" t="s">
        <v>87</v>
      </c>
      <c r="D43" s="61"/>
      <c r="E43" s="69"/>
      <c r="F43" s="60" t="s">
        <v>42</v>
      </c>
      <c r="G43" s="60" t="s">
        <v>87</v>
      </c>
      <c r="H43" s="61"/>
    </row>
    <row r="44" spans="2:9" s="60" customFormat="1" ht="15.6" x14ac:dyDescent="0.3">
      <c r="C44" s="155">
        <v>24</v>
      </c>
      <c r="D44" s="180">
        <v>5.6503510075993475</v>
      </c>
      <c r="E44" s="69"/>
      <c r="G44" s="155">
        <v>24</v>
      </c>
      <c r="H44" s="70">
        <v>0.2</v>
      </c>
    </row>
    <row r="45" spans="2:9" s="60" customFormat="1" ht="15.6" x14ac:dyDescent="0.3">
      <c r="C45" s="155">
        <v>25</v>
      </c>
      <c r="D45" s="180">
        <v>6.0320850715327605</v>
      </c>
      <c r="E45" s="69"/>
      <c r="G45" s="155">
        <v>25</v>
      </c>
      <c r="H45" s="70">
        <v>0.2</v>
      </c>
    </row>
    <row r="46" spans="2:9" s="60" customFormat="1" ht="15.6" x14ac:dyDescent="0.3">
      <c r="C46" s="155">
        <v>26</v>
      </c>
      <c r="D46" s="180">
        <v>6.415325521342047</v>
      </c>
      <c r="E46" s="69"/>
      <c r="G46" s="155">
        <v>26</v>
      </c>
      <c r="H46" s="70">
        <v>0.2</v>
      </c>
    </row>
    <row r="47" spans="2:9" s="60" customFormat="1" ht="15.6" x14ac:dyDescent="0.3">
      <c r="C47" s="155">
        <v>27</v>
      </c>
      <c r="D47" s="180">
        <v>6.8015669021192027</v>
      </c>
      <c r="E47" s="69"/>
      <c r="G47" s="155">
        <v>27</v>
      </c>
      <c r="H47" s="70">
        <v>0.2</v>
      </c>
    </row>
    <row r="48" spans="2:9" s="60" customFormat="1" ht="15.6" x14ac:dyDescent="0.3">
      <c r="C48" s="155">
        <v>28</v>
      </c>
      <c r="D48" s="180">
        <v>7.1905154941194578</v>
      </c>
      <c r="E48" s="69"/>
      <c r="G48" s="155">
        <v>28</v>
      </c>
      <c r="H48" s="70">
        <v>0.2</v>
      </c>
    </row>
    <row r="49" spans="2:8" s="60" customFormat="1" ht="15.6" x14ac:dyDescent="0.3">
      <c r="C49" s="155">
        <v>29</v>
      </c>
      <c r="D49" s="180">
        <v>7.5814056425638929</v>
      </c>
      <c r="E49" s="69"/>
      <c r="G49" s="155">
        <v>29</v>
      </c>
      <c r="H49" s="70">
        <v>0.2</v>
      </c>
    </row>
    <row r="50" spans="2:8" s="60" customFormat="1" ht="15.6" x14ac:dyDescent="0.3">
      <c r="C50" s="155">
        <v>30</v>
      </c>
      <c r="D50" s="180">
        <v>7.973618835272049</v>
      </c>
      <c r="E50" s="69"/>
      <c r="G50" s="155">
        <v>30</v>
      </c>
      <c r="H50" s="70">
        <v>0.2</v>
      </c>
    </row>
    <row r="51" spans="2:8" s="60" customFormat="1" ht="15.6" x14ac:dyDescent="0.3">
      <c r="C51" s="155">
        <v>31</v>
      </c>
      <c r="D51" s="180">
        <v>8.3665577005486238</v>
      </c>
      <c r="E51" s="69"/>
      <c r="G51" s="155">
        <v>31</v>
      </c>
      <c r="H51" s="70">
        <v>0.2</v>
      </c>
    </row>
    <row r="52" spans="2:8" s="60" customFormat="1" ht="15.6" x14ac:dyDescent="0.3">
      <c r="C52" s="155">
        <v>32</v>
      </c>
      <c r="D52" s="180">
        <v>8.7596561129153425</v>
      </c>
      <c r="E52" s="69"/>
      <c r="G52" s="155">
        <v>32</v>
      </c>
      <c r="H52" s="70">
        <v>0.2</v>
      </c>
    </row>
    <row r="53" spans="2:8" s="60" customFormat="1" ht="15.6" x14ac:dyDescent="0.3">
      <c r="C53" s="155">
        <v>33</v>
      </c>
      <c r="D53" s="180">
        <v>9.1523565325024396</v>
      </c>
      <c r="E53" s="69"/>
      <c r="G53" s="155">
        <v>33</v>
      </c>
      <c r="H53" s="70">
        <v>0.2</v>
      </c>
    </row>
    <row r="54" spans="2:8" s="60" customFormat="1" ht="15.6" x14ac:dyDescent="0.3">
      <c r="C54" s="155">
        <v>34</v>
      </c>
      <c r="D54" s="180">
        <v>9.5443078123904748</v>
      </c>
      <c r="E54" s="69"/>
      <c r="G54" s="155">
        <v>34</v>
      </c>
      <c r="H54" s="70">
        <v>0.2</v>
      </c>
    </row>
    <row r="55" spans="2:8" s="60" customFormat="1" ht="15.6" x14ac:dyDescent="0.3">
      <c r="C55" s="155">
        <v>35</v>
      </c>
      <c r="D55" s="180">
        <v>9.9345910763774743</v>
      </c>
      <c r="E55" s="69"/>
      <c r="G55" s="155">
        <v>35</v>
      </c>
      <c r="H55" s="70">
        <v>0.2</v>
      </c>
    </row>
    <row r="56" spans="2:8" s="60" customFormat="1" ht="15.6" x14ac:dyDescent="0.3">
      <c r="C56" s="155">
        <v>36</v>
      </c>
      <c r="D56" s="180">
        <v>10.322722572459359</v>
      </c>
      <c r="E56" s="61"/>
      <c r="G56" s="155">
        <v>36</v>
      </c>
      <c r="H56" s="70">
        <v>0.2</v>
      </c>
    </row>
    <row r="57" spans="2:8" s="60" customFormat="1" ht="15.6" x14ac:dyDescent="0.3">
      <c r="C57" s="155">
        <v>37</v>
      </c>
      <c r="D57" s="180">
        <v>10.708544969886834</v>
      </c>
      <c r="E57" s="61"/>
      <c r="G57" s="155">
        <v>37</v>
      </c>
      <c r="H57" s="70">
        <v>0.2</v>
      </c>
    </row>
    <row r="58" spans="2:8" s="60" customFormat="1" ht="15.6" x14ac:dyDescent="0.3">
      <c r="C58" s="155">
        <v>38</v>
      </c>
      <c r="D58" s="180">
        <v>11.09167649812548</v>
      </c>
      <c r="E58" s="61"/>
      <c r="F58" s="3"/>
      <c r="G58" s="155">
        <v>38</v>
      </c>
      <c r="H58" s="70">
        <v>0.2</v>
      </c>
    </row>
    <row r="59" spans="2:8" ht="15.6" x14ac:dyDescent="0.3">
      <c r="B59" s="60"/>
      <c r="C59" s="155">
        <v>39</v>
      </c>
      <c r="D59" s="180">
        <v>11.471749633195856</v>
      </c>
      <c r="E59" s="61"/>
      <c r="G59" s="155">
        <v>39</v>
      </c>
      <c r="H59" s="70">
        <v>0.2</v>
      </c>
    </row>
    <row r="60" spans="2:8" ht="15.6" x14ac:dyDescent="0.3">
      <c r="B60" s="60"/>
      <c r="C60" s="155">
        <v>40</v>
      </c>
      <c r="D60" s="180">
        <v>11.84846321834652</v>
      </c>
      <c r="E60" s="69"/>
      <c r="G60" s="155">
        <v>40</v>
      </c>
      <c r="H60" s="70">
        <v>0.2</v>
      </c>
    </row>
    <row r="61" spans="2:8" ht="15.6" x14ac:dyDescent="0.3">
      <c r="B61" s="60"/>
      <c r="C61" s="60"/>
      <c r="D61" s="70"/>
    </row>
    <row r="62" spans="2:8" ht="15.6" x14ac:dyDescent="0.3">
      <c r="B62" s="60"/>
      <c r="C62" s="60"/>
      <c r="D62" s="70"/>
    </row>
    <row r="63" spans="2:8" ht="15.6" x14ac:dyDescent="0.3">
      <c r="B63" s="60"/>
      <c r="C63" s="60"/>
      <c r="D63" s="70"/>
    </row>
    <row r="64" spans="2:8" ht="15.6" x14ac:dyDescent="0.3">
      <c r="B64" s="60"/>
      <c r="C64" s="60"/>
      <c r="D64" s="70"/>
    </row>
    <row r="65" spans="4:4" ht="15.6" x14ac:dyDescent="0.3">
      <c r="D65" s="70"/>
    </row>
    <row r="66" spans="4:4" ht="15.6" x14ac:dyDescent="0.3">
      <c r="D66" s="70"/>
    </row>
  </sheetData>
  <sheetProtection algorithmName="SHA-512" hashValue="kaUsbzw4nmDAIHQrfydhE3sZlJQxt+lnlL3+Osqo6fAztC5FFZAAHpV2NGXDXTH75CE6IYDrfJGVD+vwAPh6FQ==" saltValue="8EyDAyz8VrocFo8lhyPwnQ==" spinCount="100000"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7</vt:i4>
      </vt:variant>
      <vt:variant>
        <vt:lpstr>Nimetyt alueet</vt:lpstr>
      </vt:variant>
      <vt:variant>
        <vt:i4>3</vt:i4>
      </vt:variant>
    </vt:vector>
  </HeadingPairs>
  <TitlesOfParts>
    <vt:vector size="10" baseType="lpstr">
      <vt:lpstr>Laskuri</vt:lpstr>
      <vt:lpstr>Lähtötiedot ja kate</vt:lpstr>
      <vt:lpstr>Katelaskelma</vt:lpstr>
      <vt:lpstr>Tuet</vt:lpstr>
      <vt:lpstr>Työnmenekki</vt:lpstr>
      <vt:lpstr>Yleiskustannus</vt:lpstr>
      <vt:lpstr>Ruokinta</vt:lpstr>
      <vt:lpstr>Katelaskelma!Tulostusalue</vt:lpstr>
      <vt:lpstr>Laskuri!Tulostusalue</vt:lpstr>
      <vt:lpstr>'Lähtötiedot ja kate'!Tulostusalue</vt:lpstr>
    </vt:vector>
  </TitlesOfParts>
  <Company>MTTL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jaanaa</dc:creator>
  <cp:lastModifiedBy>OMISTAJA</cp:lastModifiedBy>
  <cp:lastPrinted>2019-04-11T09:52:49Z</cp:lastPrinted>
  <dcterms:created xsi:type="dcterms:W3CDTF">2001-12-13T13:36:01Z</dcterms:created>
  <dcterms:modified xsi:type="dcterms:W3CDTF">2023-04-20T07:32:56Z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