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03080642\Work Folders\"/>
    </mc:Choice>
  </mc:AlternateContent>
  <xr:revisionPtr revIDLastSave="0" documentId="13_ncr:1_{6604DD10-3F3C-4A66-9980-490862790776}" xr6:coauthVersionLast="47" xr6:coauthVersionMax="47" xr10:uidLastSave="{00000000-0000-0000-0000-000000000000}"/>
  <bookViews>
    <workbookView xWindow="-110" yWindow="-110" windowWidth="19420" windowHeight="10420" xr2:uid="{A04828A3-8027-46C9-8705-DD9BEB7D593F}"/>
  </bookViews>
  <sheets>
    <sheet name="Kansilehti" sheetId="16" r:id="rId1"/>
    <sheet name="Resepti" sheetId="2" r:id="rId2"/>
    <sheet name="Biologinen tehokkuus" sheetId="3" r:id="rId3"/>
    <sheet name="Biologinen panostuotos" sheetId="4" r:id="rId4"/>
    <sheet name="Työmäärä (kk)" sheetId="8" r:id="rId5"/>
    <sheet name="Materiaalit (kk)" sheetId="6" r:id="rId6"/>
    <sheet name="Muuttuvat kulut (v)" sheetId="5" r:id="rId7"/>
    <sheet name="Kiinteät kulut (v)" sheetId="10" r:id="rId8"/>
    <sheet name="Tulot (v)" sheetId="7" r:id="rId9"/>
  </sheets>
  <definedNames>
    <definedName name="solver_adj" localSheetId="1" hidden="1">Resepti!$D$38:$D$41</definedName>
    <definedName name="solver_cvg" localSheetId="1" hidden="1">0.0001</definedName>
    <definedName name="solver_drv" localSheetId="1" hidden="1">1</definedName>
    <definedName name="solver_eng" localSheetId="1" hidden="1">1</definedName>
    <definedName name="solver_est" localSheetId="1" hidden="1">1</definedName>
    <definedName name="solver_itr" localSheetId="1" hidden="1">2147483647</definedName>
    <definedName name="solver_lhs1" localSheetId="1" hidden="1">Resepti!$D$37:$D$41</definedName>
    <definedName name="solver_lhs2" localSheetId="1" hidden="1">Resepti!$D$37:$D$41</definedName>
    <definedName name="solver_lhs3" localSheetId="1" hidden="1">Resepti!$D$42</definedName>
    <definedName name="solver_mip" localSheetId="1" hidden="1">2147483647</definedName>
    <definedName name="solver_mni" localSheetId="1" hidden="1">30</definedName>
    <definedName name="solver_mrt" localSheetId="1" hidden="1">0.075</definedName>
    <definedName name="solver_msl" localSheetId="1" hidden="1">2</definedName>
    <definedName name="solver_neg" localSheetId="1" hidden="1">1</definedName>
    <definedName name="solver_nod" localSheetId="1" hidden="1">2147483647</definedName>
    <definedName name="solver_num" localSheetId="1" hidden="1">3</definedName>
    <definedName name="solver_nwt" localSheetId="1" hidden="1">1</definedName>
    <definedName name="solver_opt" localSheetId="1" hidden="1">Resepti!$F$57</definedName>
    <definedName name="solver_pre" localSheetId="1" hidden="1">0.000001</definedName>
    <definedName name="solver_rbv" localSheetId="1" hidden="1">1</definedName>
    <definedName name="solver_rel1" localSheetId="1" hidden="1">1</definedName>
    <definedName name="solver_rel2" localSheetId="1" hidden="1">3</definedName>
    <definedName name="solver_rel3" localSheetId="1" hidden="1">2</definedName>
    <definedName name="solver_rhs1" localSheetId="1" hidden="1">Resepti!$C$19:$C$23</definedName>
    <definedName name="solver_rhs2" localSheetId="1" hidden="1">Resepti!$B$19:$B$23</definedName>
    <definedName name="solver_rhs3" localSheetId="1" hidden="1">1</definedName>
    <definedName name="solver_rlx" localSheetId="1" hidden="1">2</definedName>
    <definedName name="solver_rsd" localSheetId="1" hidden="1">0</definedName>
    <definedName name="solver_scl" localSheetId="1" hidden="1">1</definedName>
    <definedName name="solver_sho" localSheetId="1" hidden="1">2</definedName>
    <definedName name="solver_ssz" localSheetId="1" hidden="1">100</definedName>
    <definedName name="solver_tim" localSheetId="1" hidden="1">2147483647</definedName>
    <definedName name="solver_tol" localSheetId="1" hidden="1">0.01</definedName>
    <definedName name="solver_typ" localSheetId="1" hidden="1">2</definedName>
    <definedName name="solver_val" localSheetId="1" hidden="1">0</definedName>
    <definedName name="solver_ver" localSheetId="1" hidden="1">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6" i="2" l="1"/>
  <c r="G68" i="6" l="1"/>
  <c r="G66" i="6"/>
  <c r="G64" i="6"/>
  <c r="G62" i="6"/>
  <c r="G60" i="6"/>
  <c r="G50" i="6"/>
  <c r="G51" i="6"/>
  <c r="G52" i="6"/>
  <c r="G53" i="6"/>
  <c r="G49" i="6"/>
  <c r="G41" i="6"/>
  <c r="G42" i="6"/>
  <c r="G43" i="6"/>
  <c r="G44" i="6"/>
  <c r="G45" i="6"/>
  <c r="B55" i="2"/>
  <c r="A47" i="3"/>
  <c r="F54" i="6"/>
  <c r="H54" i="6"/>
  <c r="I54" i="6"/>
  <c r="J54" i="6"/>
  <c r="K54" i="6"/>
  <c r="E54" i="6"/>
  <c r="F46" i="6"/>
  <c r="H46" i="6"/>
  <c r="I46" i="6"/>
  <c r="J46" i="6"/>
  <c r="K46" i="6"/>
  <c r="E46" i="6"/>
  <c r="B2" i="5"/>
  <c r="G19" i="6"/>
  <c r="D10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58" i="6"/>
  <c r="G23" i="6"/>
  <c r="H8" i="6"/>
  <c r="G13" i="8"/>
  <c r="F17" i="8"/>
  <c r="F16" i="8"/>
  <c r="F15" i="8"/>
  <c r="F14" i="8"/>
  <c r="F13" i="8"/>
  <c r="F18" i="8"/>
  <c r="F19" i="8"/>
  <c r="F8" i="8"/>
  <c r="E11" i="8"/>
  <c r="E12" i="8"/>
  <c r="E13" i="8"/>
  <c r="E14" i="8"/>
  <c r="E15" i="8"/>
  <c r="E16" i="8"/>
  <c r="E17" i="8"/>
  <c r="E18" i="8"/>
  <c r="E19" i="8"/>
  <c r="E10" i="8"/>
  <c r="C19" i="8"/>
  <c r="C18" i="8"/>
  <c r="C17" i="8"/>
  <c r="C16" i="8"/>
  <c r="C15" i="8"/>
  <c r="C14" i="8"/>
  <c r="C13" i="8"/>
  <c r="C12" i="8"/>
  <c r="C10" i="8"/>
  <c r="G46" i="6" l="1"/>
  <c r="D6" i="10"/>
  <c r="C6" i="10"/>
  <c r="Q23" i="2"/>
  <c r="D15" i="6" s="1"/>
  <c r="Q22" i="2"/>
  <c r="D14" i="6" s="1"/>
  <c r="Q21" i="2"/>
  <c r="D13" i="6" s="1"/>
  <c r="Q20" i="2"/>
  <c r="D12" i="6" s="1"/>
  <c r="Q19" i="2"/>
  <c r="D11" i="6" s="1"/>
  <c r="B9" i="4"/>
  <c r="B10" i="4"/>
  <c r="C99" i="4"/>
  <c r="C100" i="4" s="1"/>
  <c r="C101" i="4" s="1"/>
  <c r="C102" i="4" s="1"/>
  <c r="C103" i="4" s="1"/>
  <c r="C104" i="4" s="1"/>
  <c r="C90" i="4"/>
  <c r="C93" i="4" s="1"/>
  <c r="C92" i="4" s="1"/>
  <c r="B91" i="4"/>
  <c r="B98" i="4"/>
  <c r="B106" i="4"/>
  <c r="A107" i="4"/>
  <c r="A108" i="4"/>
  <c r="A105" i="4"/>
  <c r="A100" i="4"/>
  <c r="A101" i="4"/>
  <c r="A102" i="4"/>
  <c r="A103" i="4"/>
  <c r="A104" i="4"/>
  <c r="A91" i="4"/>
  <c r="C10" i="6" s="1"/>
  <c r="A99" i="4"/>
  <c r="C70" i="4"/>
  <c r="B23" i="4"/>
  <c r="C66" i="4"/>
  <c r="C65" i="4"/>
  <c r="C64" i="4"/>
  <c r="C63" i="4"/>
  <c r="C62" i="4"/>
  <c r="C60" i="4"/>
  <c r="C71" i="4" s="1"/>
  <c r="C72" i="4" s="1"/>
  <c r="C69" i="4"/>
  <c r="C73" i="4" s="1"/>
  <c r="B33" i="4"/>
  <c r="B55" i="4" s="1"/>
  <c r="B67" i="4" s="1"/>
  <c r="B37" i="4"/>
  <c r="C12" i="3"/>
  <c r="D12" i="3"/>
  <c r="E12" i="3"/>
  <c r="F12" i="3"/>
  <c r="G12" i="3"/>
  <c r="B12" i="3"/>
  <c r="H6" i="3"/>
  <c r="I6" i="3"/>
  <c r="H7" i="3"/>
  <c r="I7" i="3"/>
  <c r="H8" i="3"/>
  <c r="I8" i="3"/>
  <c r="H9" i="3"/>
  <c r="I9" i="3"/>
  <c r="H10" i="3"/>
  <c r="I10" i="3"/>
  <c r="I5" i="3"/>
  <c r="H5" i="3"/>
  <c r="J5" i="3"/>
  <c r="J6" i="3"/>
  <c r="J7" i="3"/>
  <c r="J8" i="3"/>
  <c r="J9" i="3"/>
  <c r="J10" i="3"/>
  <c r="B11" i="3"/>
  <c r="C11" i="3"/>
  <c r="D11" i="3"/>
  <c r="E11" i="3"/>
  <c r="F11" i="3"/>
  <c r="G11" i="3"/>
  <c r="O41" i="2"/>
  <c r="Q85" i="2"/>
  <c r="G23" i="2"/>
  <c r="I23" i="2"/>
  <c r="J23" i="2"/>
  <c r="K23" i="2"/>
  <c r="L23" i="2"/>
  <c r="M23" i="2"/>
  <c r="N23" i="2"/>
  <c r="P23" i="2"/>
  <c r="F23" i="2"/>
  <c r="H42" i="2"/>
  <c r="A22" i="3"/>
  <c r="A39" i="3" s="1"/>
  <c r="A23" i="3"/>
  <c r="A40" i="3" s="1"/>
  <c r="A24" i="3"/>
  <c r="A41" i="3" s="1"/>
  <c r="A25" i="3"/>
  <c r="A42" i="3" s="1"/>
  <c r="A26" i="3"/>
  <c r="A43" i="3" s="1"/>
  <c r="A27" i="3"/>
  <c r="A44" i="3" s="1"/>
  <c r="A28" i="3"/>
  <c r="A45" i="3" s="1"/>
  <c r="A29" i="3"/>
  <c r="A46" i="3" s="1"/>
  <c r="A21" i="3"/>
  <c r="A94" i="3" s="1"/>
  <c r="B42" i="2"/>
  <c r="P80" i="2"/>
  <c r="Q80" i="2"/>
  <c r="P81" i="2"/>
  <c r="Q81" i="2"/>
  <c r="P82" i="2"/>
  <c r="Q82" i="2"/>
  <c r="P83" i="2"/>
  <c r="Q83" i="2"/>
  <c r="P84" i="2"/>
  <c r="Q84" i="2"/>
  <c r="P85" i="2"/>
  <c r="P86" i="2"/>
  <c r="Q86" i="2"/>
  <c r="P79" i="2"/>
  <c r="Q79" i="2"/>
  <c r="A97" i="3" l="1"/>
  <c r="L6" i="3"/>
  <c r="L8" i="3" s="1"/>
  <c r="A96" i="3"/>
  <c r="A95" i="3"/>
  <c r="L10" i="3"/>
  <c r="L12" i="3" s="1"/>
  <c r="B97" i="4"/>
  <c r="D8" i="8"/>
  <c r="E8" i="8" s="1"/>
  <c r="F8" i="6"/>
  <c r="B38" i="4"/>
  <c r="C107" i="4"/>
  <c r="C108" i="4" s="1"/>
  <c r="C94" i="4"/>
  <c r="C95" i="4" s="1"/>
  <c r="C96" i="4" s="1"/>
  <c r="C79" i="4"/>
  <c r="C80" i="4" s="1"/>
  <c r="I11" i="3"/>
  <c r="J11" i="3"/>
  <c r="B16" i="4" s="1"/>
  <c r="H12" i="3"/>
  <c r="H11" i="3"/>
  <c r="I12" i="3"/>
  <c r="J12" i="3"/>
  <c r="B17" i="4" s="1"/>
  <c r="B18" i="4" s="1"/>
  <c r="G8" i="6" l="1"/>
  <c r="L72" i="6"/>
  <c r="M72" i="6" s="1"/>
  <c r="B39" i="4"/>
  <c r="B43" i="4" s="1"/>
  <c r="B44" i="4" s="1"/>
  <c r="B45" i="4" s="1"/>
  <c r="B72" i="2"/>
  <c r="B73" i="2"/>
  <c r="B74" i="2"/>
  <c r="B75" i="2"/>
  <c r="B71" i="2"/>
  <c r="C24" i="2"/>
  <c r="A23" i="2"/>
  <c r="F32" i="2" s="1"/>
  <c r="G19" i="2"/>
  <c r="I19" i="2"/>
  <c r="J19" i="2"/>
  <c r="K19" i="2"/>
  <c r="L19" i="2"/>
  <c r="M19" i="2"/>
  <c r="N19" i="2"/>
  <c r="P19" i="2"/>
  <c r="G20" i="2"/>
  <c r="I20" i="2"/>
  <c r="J20" i="2"/>
  <c r="K20" i="2"/>
  <c r="L20" i="2"/>
  <c r="M20" i="2"/>
  <c r="N20" i="2"/>
  <c r="P20" i="2"/>
  <c r="G21" i="2"/>
  <c r="I21" i="2"/>
  <c r="J21" i="2"/>
  <c r="K21" i="2"/>
  <c r="L21" i="2"/>
  <c r="M21" i="2"/>
  <c r="N21" i="2"/>
  <c r="P21" i="2"/>
  <c r="G22" i="2"/>
  <c r="I22" i="2"/>
  <c r="J22" i="2"/>
  <c r="K22" i="2"/>
  <c r="L22" i="2"/>
  <c r="M22" i="2"/>
  <c r="N22" i="2"/>
  <c r="P22" i="2"/>
  <c r="F22" i="2"/>
  <c r="A22" i="2" s="1"/>
  <c r="F31" i="2" s="1"/>
  <c r="F21" i="2"/>
  <c r="A21" i="2" s="1"/>
  <c r="F30" i="2" s="1"/>
  <c r="F20" i="2"/>
  <c r="A20" i="2" s="1"/>
  <c r="F29" i="2" s="1"/>
  <c r="F19" i="2"/>
  <c r="A19" i="2" s="1"/>
  <c r="F28" i="2" s="1"/>
  <c r="O11" i="2"/>
  <c r="O22" i="2" s="1"/>
  <c r="H7" i="2"/>
  <c r="H23" i="2" s="1"/>
  <c r="H8" i="2"/>
  <c r="H20" i="2" s="1"/>
  <c r="C80" i="2" s="1"/>
  <c r="H9" i="2"/>
  <c r="H10" i="2"/>
  <c r="H11" i="2"/>
  <c r="H22" i="2" s="1"/>
  <c r="O7" i="2"/>
  <c r="O23" i="2" s="1"/>
  <c r="O8" i="2"/>
  <c r="O20" i="2" s="1"/>
  <c r="O9" i="2"/>
  <c r="O21" i="2" s="1"/>
  <c r="O10" i="2"/>
  <c r="O6" i="2"/>
  <c r="O19" i="2" s="1"/>
  <c r="H6" i="2"/>
  <c r="H19" i="2" s="1"/>
  <c r="B40" i="4" l="1"/>
  <c r="B41" i="4" s="1"/>
  <c r="B46" i="4"/>
  <c r="B57" i="4"/>
  <c r="B87" i="4" s="1"/>
  <c r="D82" i="2"/>
  <c r="C82" i="2"/>
  <c r="D83" i="2"/>
  <c r="C83" i="2"/>
  <c r="D80" i="2"/>
  <c r="D37" i="2"/>
  <c r="A74" i="2"/>
  <c r="A82" i="2" s="1"/>
  <c r="A38" i="2"/>
  <c r="A37" i="2"/>
  <c r="A41" i="2"/>
  <c r="A40" i="2"/>
  <c r="A39" i="2"/>
  <c r="B76" i="2"/>
  <c r="C73" i="2" s="1"/>
  <c r="D73" i="2" s="1"/>
  <c r="A72" i="2"/>
  <c r="A80" i="2" s="1"/>
  <c r="A71" i="2"/>
  <c r="A79" i="2" s="1"/>
  <c r="A73" i="2"/>
  <c r="A81" i="2" s="1"/>
  <c r="A75" i="2"/>
  <c r="A83" i="2" s="1"/>
  <c r="H21" i="2"/>
  <c r="C79" i="2" l="1"/>
  <c r="H40" i="2"/>
  <c r="A65" i="4"/>
  <c r="A95" i="4" s="1"/>
  <c r="C14" i="6" s="1"/>
  <c r="H37" i="2"/>
  <c r="A62" i="4"/>
  <c r="A92" i="4" s="1"/>
  <c r="C11" i="6" s="1"/>
  <c r="H38" i="2"/>
  <c r="A63" i="4"/>
  <c r="A93" i="4" s="1"/>
  <c r="C12" i="6" s="1"/>
  <c r="H39" i="2"/>
  <c r="A64" i="4"/>
  <c r="A94" i="4" s="1"/>
  <c r="C13" i="6" s="1"/>
  <c r="H41" i="2"/>
  <c r="A66" i="4"/>
  <c r="A96" i="4" s="1"/>
  <c r="C15" i="6" s="1"/>
  <c r="B49" i="4"/>
  <c r="B50" i="4" s="1"/>
  <c r="B48" i="4"/>
  <c r="B105" i="4"/>
  <c r="D105" i="4" s="1"/>
  <c r="D87" i="4"/>
  <c r="B75" i="4"/>
  <c r="D81" i="2"/>
  <c r="C81" i="2"/>
  <c r="D42" i="2"/>
  <c r="D79" i="2"/>
  <c r="D84" i="2" s="1"/>
  <c r="D86" i="2" s="1"/>
  <c r="D87" i="2" s="1"/>
  <c r="I40" i="2" s="1"/>
  <c r="C75" i="2"/>
  <c r="D75" i="2" s="1"/>
  <c r="C71" i="2"/>
  <c r="E71" i="2" s="1"/>
  <c r="C72" i="2"/>
  <c r="D72" i="2" s="1"/>
  <c r="C74" i="2"/>
  <c r="D74" i="2" s="1"/>
  <c r="B58" i="4" l="1"/>
  <c r="B51" i="4"/>
  <c r="J41" i="2"/>
  <c r="J39" i="2"/>
  <c r="I39" i="2"/>
  <c r="C84" i="2"/>
  <c r="D43" i="2" s="1"/>
  <c r="I38" i="2"/>
  <c r="J40" i="2"/>
  <c r="I41" i="2"/>
  <c r="I37" i="2"/>
  <c r="J37" i="2"/>
  <c r="I11" i="6" s="1"/>
  <c r="J38" i="2"/>
  <c r="E80" i="2"/>
  <c r="L80" i="2" s="1"/>
  <c r="E82" i="2"/>
  <c r="G82" i="2" s="1"/>
  <c r="E79" i="2"/>
  <c r="K79" i="2" s="1"/>
  <c r="E81" i="2"/>
  <c r="G81" i="2" s="1"/>
  <c r="E83" i="2"/>
  <c r="F83" i="2" s="1"/>
  <c r="D71" i="2"/>
  <c r="F71" i="2"/>
  <c r="G71" i="2" s="1"/>
  <c r="E72" i="2" s="1"/>
  <c r="H72" i="2" s="1"/>
  <c r="H71" i="2"/>
  <c r="C76" i="2"/>
  <c r="K40" i="2" l="1"/>
  <c r="I14" i="6"/>
  <c r="K38" i="2"/>
  <c r="I12" i="6"/>
  <c r="K39" i="2"/>
  <c r="I13" i="6"/>
  <c r="K41" i="2"/>
  <c r="I15" i="6"/>
  <c r="B88" i="4"/>
  <c r="D88" i="4" s="1"/>
  <c r="G8" i="8"/>
  <c r="I8" i="6"/>
  <c r="B69" i="4"/>
  <c r="B80" i="4"/>
  <c r="B79" i="4"/>
  <c r="B107" i="4" s="1"/>
  <c r="D107" i="4" s="1"/>
  <c r="I42" i="2"/>
  <c r="F38" i="2"/>
  <c r="J80" i="2"/>
  <c r="M80" i="2"/>
  <c r="K37" i="2"/>
  <c r="D88" i="2"/>
  <c r="J42" i="2"/>
  <c r="I16" i="6" s="1"/>
  <c r="F80" i="2"/>
  <c r="K80" i="2"/>
  <c r="H79" i="2"/>
  <c r="G79" i="2"/>
  <c r="I80" i="2"/>
  <c r="G80" i="2"/>
  <c r="H80" i="2"/>
  <c r="M79" i="2"/>
  <c r="L79" i="2"/>
  <c r="F79" i="2"/>
  <c r="F37" i="2"/>
  <c r="K83" i="2"/>
  <c r="I81" i="2"/>
  <c r="K81" i="2"/>
  <c r="F82" i="2"/>
  <c r="M81" i="2"/>
  <c r="L81" i="2"/>
  <c r="F40" i="2"/>
  <c r="M82" i="2"/>
  <c r="K82" i="2"/>
  <c r="J82" i="2"/>
  <c r="L82" i="2"/>
  <c r="I82" i="2"/>
  <c r="F41" i="2"/>
  <c r="I83" i="2"/>
  <c r="L83" i="2"/>
  <c r="M83" i="2"/>
  <c r="F39" i="2"/>
  <c r="H82" i="2"/>
  <c r="J81" i="2"/>
  <c r="J79" i="2"/>
  <c r="F81" i="2"/>
  <c r="I79" i="2"/>
  <c r="J83" i="2"/>
  <c r="E84" i="2"/>
  <c r="E86" i="2" s="1"/>
  <c r="E87" i="2" s="1"/>
  <c r="H83" i="2"/>
  <c r="H81" i="2"/>
  <c r="G83" i="2"/>
  <c r="F72" i="2"/>
  <c r="G72" i="2" s="1"/>
  <c r="E73" i="2" s="1"/>
  <c r="H73" i="2" s="1"/>
  <c r="L15" i="6" l="1"/>
  <c r="M15" i="6" s="1"/>
  <c r="L13" i="6"/>
  <c r="M13" i="6" s="1"/>
  <c r="L16" i="6"/>
  <c r="M16" i="6" s="1"/>
  <c r="B60" i="4"/>
  <c r="L12" i="6"/>
  <c r="M12" i="6" s="1"/>
  <c r="L14" i="6"/>
  <c r="M14" i="6" s="1"/>
  <c r="B108" i="4"/>
  <c r="D108" i="4" s="1"/>
  <c r="K8" i="6"/>
  <c r="I8" i="8"/>
  <c r="B70" i="4"/>
  <c r="B100" i="4" s="1"/>
  <c r="D100" i="4" s="1"/>
  <c r="B99" i="4"/>
  <c r="D99" i="4" s="1"/>
  <c r="B72" i="4"/>
  <c r="B102" i="4" s="1"/>
  <c r="D102" i="4" s="1"/>
  <c r="B73" i="4"/>
  <c r="L11" i="6"/>
  <c r="I17" i="6"/>
  <c r="K42" i="2"/>
  <c r="O42" i="2"/>
  <c r="J43" i="2"/>
  <c r="K43" i="2" s="1"/>
  <c r="G84" i="2"/>
  <c r="D50" i="2" s="1"/>
  <c r="E50" i="2" s="1"/>
  <c r="F84" i="2"/>
  <c r="D49" i="2" s="1"/>
  <c r="H84" i="2"/>
  <c r="I84" i="2"/>
  <c r="D52" i="2" s="1"/>
  <c r="E52" i="2" s="1"/>
  <c r="J84" i="2"/>
  <c r="D53" i="2" s="1"/>
  <c r="E53" i="2" s="1"/>
  <c r="K84" i="2"/>
  <c r="D54" i="2" s="1"/>
  <c r="E54" i="2" s="1"/>
  <c r="F73" i="2"/>
  <c r="G73" i="2" s="1"/>
  <c r="E74" i="2" s="1"/>
  <c r="H74" i="2" s="1"/>
  <c r="B90" i="4" l="1"/>
  <c r="D90" i="4" s="1"/>
  <c r="B63" i="4"/>
  <c r="B93" i="4" s="1"/>
  <c r="D93" i="4" s="1"/>
  <c r="B64" i="4"/>
  <c r="B94" i="4" s="1"/>
  <c r="D94" i="4" s="1"/>
  <c r="B66" i="4"/>
  <c r="B96" i="4" s="1"/>
  <c r="D96" i="4" s="1"/>
  <c r="B65" i="4"/>
  <c r="B95" i="4" s="1"/>
  <c r="D95" i="4" s="1"/>
  <c r="B62" i="4"/>
  <c r="B92" i="4" s="1"/>
  <c r="D92" i="4" s="1"/>
  <c r="E49" i="2"/>
  <c r="B59" i="4"/>
  <c r="B89" i="4" s="1"/>
  <c r="B71" i="4"/>
  <c r="L17" i="6"/>
  <c r="M11" i="6"/>
  <c r="M17" i="6" s="1"/>
  <c r="B77" i="6" s="1"/>
  <c r="J5" i="6"/>
  <c r="B103" i="4"/>
  <c r="D103" i="4" s="1"/>
  <c r="B76" i="4"/>
  <c r="B77" i="4" s="1"/>
  <c r="B74" i="4"/>
  <c r="B104" i="4" s="1"/>
  <c r="D104" i="4" s="1"/>
  <c r="D51" i="2"/>
  <c r="O81" i="2" s="1"/>
  <c r="R81" i="2" s="1"/>
  <c r="O84" i="2"/>
  <c r="R84" i="2" s="1"/>
  <c r="B27" i="3"/>
  <c r="C44" i="3" s="1"/>
  <c r="O83" i="2"/>
  <c r="R83" i="2" s="1"/>
  <c r="O79" i="2"/>
  <c r="R79" i="2" s="1"/>
  <c r="B22" i="3"/>
  <c r="O80" i="2"/>
  <c r="R80" i="2" s="1"/>
  <c r="B23" i="3"/>
  <c r="O82" i="2"/>
  <c r="R82" i="2" s="1"/>
  <c r="M84" i="2"/>
  <c r="D56" i="2" s="1"/>
  <c r="E56" i="2" s="1"/>
  <c r="L84" i="2"/>
  <c r="D55" i="2" s="1"/>
  <c r="E55" i="2" s="1"/>
  <c r="F74" i="2"/>
  <c r="G74" i="2" s="1"/>
  <c r="E75" i="2" s="1"/>
  <c r="H75" i="2" s="1"/>
  <c r="B25" i="3" l="1"/>
  <c r="C42" i="3" s="1"/>
  <c r="B26" i="3"/>
  <c r="C43" i="3" s="1"/>
  <c r="C45" i="3" s="1"/>
  <c r="D59" i="2"/>
  <c r="B96" i="3"/>
  <c r="C40" i="3"/>
  <c r="B95" i="3"/>
  <c r="C39" i="3"/>
  <c r="B101" i="4"/>
  <c r="D101" i="4" s="1"/>
  <c r="H8" i="8"/>
  <c r="J8" i="6"/>
  <c r="D39" i="3"/>
  <c r="D40" i="3"/>
  <c r="D42" i="3"/>
  <c r="D44" i="3"/>
  <c r="B24" i="3"/>
  <c r="C41" i="3" s="1"/>
  <c r="E51" i="2"/>
  <c r="F52" i="2"/>
  <c r="G52" i="2"/>
  <c r="G54" i="2"/>
  <c r="F54" i="2"/>
  <c r="G50" i="2"/>
  <c r="F50" i="2"/>
  <c r="G49" i="2"/>
  <c r="F49" i="2"/>
  <c r="G53" i="2"/>
  <c r="F53" i="2"/>
  <c r="G51" i="2"/>
  <c r="F51" i="2"/>
  <c r="O86" i="2"/>
  <c r="R86" i="2" s="1"/>
  <c r="B29" i="3"/>
  <c r="C46" i="3" s="1"/>
  <c r="O85" i="2"/>
  <c r="R85" i="2" s="1"/>
  <c r="B28" i="3"/>
  <c r="B97" i="3" s="1"/>
  <c r="F75" i="2"/>
  <c r="G75" i="2" s="1"/>
  <c r="E76" i="2"/>
  <c r="H76" i="2"/>
  <c r="D43" i="3" l="1"/>
  <c r="D28" i="3" s="1"/>
  <c r="B102" i="3"/>
  <c r="E99" i="3"/>
  <c r="M64" i="6"/>
  <c r="M19" i="6"/>
  <c r="B78" i="6" s="1"/>
  <c r="L37" i="6"/>
  <c r="M37" i="6" s="1"/>
  <c r="L41" i="6"/>
  <c r="M41" i="6" s="1"/>
  <c r="L51" i="6"/>
  <c r="M51" i="6" s="1"/>
  <c r="L52" i="6"/>
  <c r="M52" i="6" s="1"/>
  <c r="L24" i="6"/>
  <c r="M24" i="6" s="1"/>
  <c r="L50" i="6"/>
  <c r="M50" i="6" s="1"/>
  <c r="L27" i="6"/>
  <c r="M27" i="6" s="1"/>
  <c r="L44" i="6"/>
  <c r="M44" i="6" s="1"/>
  <c r="L25" i="6"/>
  <c r="M25" i="6" s="1"/>
  <c r="M62" i="6"/>
  <c r="L53" i="6"/>
  <c r="M53" i="6" s="1"/>
  <c r="L54" i="6"/>
  <c r="M54" i="6" s="1"/>
  <c r="L42" i="6"/>
  <c r="M42" i="6" s="1"/>
  <c r="L31" i="6"/>
  <c r="M31" i="6" s="1"/>
  <c r="L45" i="6"/>
  <c r="M45" i="6" s="1"/>
  <c r="L26" i="6"/>
  <c r="M26" i="6" s="1"/>
  <c r="L46" i="6"/>
  <c r="M46" i="6" s="1"/>
  <c r="B79" i="6" s="1"/>
  <c r="M68" i="6"/>
  <c r="L39" i="6"/>
  <c r="M39" i="6" s="1"/>
  <c r="L34" i="6"/>
  <c r="M34" i="6" s="1"/>
  <c r="L33" i="6"/>
  <c r="M33" i="6" s="1"/>
  <c r="L29" i="6"/>
  <c r="M29" i="6" s="1"/>
  <c r="L36" i="6"/>
  <c r="M36" i="6" s="1"/>
  <c r="L32" i="6"/>
  <c r="M32" i="6" s="1"/>
  <c r="L28" i="6"/>
  <c r="M28" i="6" s="1"/>
  <c r="L23" i="6"/>
  <c r="M23" i="6" s="1"/>
  <c r="L49" i="6"/>
  <c r="M49" i="6" s="1"/>
  <c r="M66" i="6"/>
  <c r="L30" i="6"/>
  <c r="M30" i="6" s="1"/>
  <c r="L40" i="6"/>
  <c r="M40" i="6" s="1"/>
  <c r="M60" i="6"/>
  <c r="L38" i="6"/>
  <c r="M38" i="6" s="1"/>
  <c r="L43" i="6"/>
  <c r="M43" i="6" s="1"/>
  <c r="L35" i="6"/>
  <c r="M35" i="6" s="1"/>
  <c r="M58" i="6"/>
  <c r="J11" i="8"/>
  <c r="K10" i="8"/>
  <c r="J12" i="8"/>
  <c r="J19" i="8"/>
  <c r="K15" i="8"/>
  <c r="K16" i="8"/>
  <c r="J18" i="8"/>
  <c r="J15" i="8"/>
  <c r="J13" i="8"/>
  <c r="J17" i="8"/>
  <c r="J14" i="8"/>
  <c r="K12" i="8"/>
  <c r="J10" i="8"/>
  <c r="K14" i="8"/>
  <c r="K11" i="8"/>
  <c r="K13" i="8"/>
  <c r="K17" i="8"/>
  <c r="K19" i="8"/>
  <c r="K18" i="8"/>
  <c r="J16" i="8"/>
  <c r="D41" i="3"/>
  <c r="C28" i="3"/>
  <c r="D46" i="3"/>
  <c r="B30" i="3"/>
  <c r="G55" i="2"/>
  <c r="F55" i="2"/>
  <c r="G56" i="2"/>
  <c r="I71" i="2"/>
  <c r="I72" i="2"/>
  <c r="I73" i="2"/>
  <c r="I74" i="2"/>
  <c r="I75" i="2"/>
  <c r="D45" i="3" l="1"/>
  <c r="C47" i="3"/>
  <c r="C48" i="3" s="1"/>
  <c r="B48" i="3"/>
  <c r="I99" i="3"/>
  <c r="I100" i="3"/>
  <c r="B80" i="6"/>
  <c r="B81" i="6" s="1"/>
  <c r="K20" i="8"/>
  <c r="K21" i="8" s="1"/>
  <c r="J20" i="8"/>
  <c r="J21" i="8" s="1"/>
  <c r="D47" i="3"/>
  <c r="D48" i="3" s="1"/>
  <c r="F57" i="2"/>
  <c r="J75" i="2"/>
  <c r="J74" i="2"/>
  <c r="J73" i="2"/>
  <c r="J72" i="2"/>
  <c r="J71" i="2"/>
  <c r="I76" i="2"/>
  <c r="K71" i="2"/>
  <c r="G24" i="3" l="1"/>
  <c r="H24" i="3"/>
  <c r="L71" i="2"/>
  <c r="M71" i="2" s="1"/>
  <c r="K72" i="2" s="1"/>
  <c r="N71" i="2"/>
  <c r="O71" i="2" l="1"/>
  <c r="N72" i="2"/>
  <c r="O72" i="2" s="1"/>
  <c r="G29" i="2" s="1"/>
  <c r="L72" i="2"/>
  <c r="M72" i="2" s="1"/>
  <c r="K73" i="2" s="1"/>
  <c r="G28" i="2" l="1"/>
  <c r="N73" i="2"/>
  <c r="O73" i="2" s="1"/>
  <c r="G30" i="2" s="1"/>
  <c r="L73" i="2"/>
  <c r="M73" i="2" s="1"/>
  <c r="K74" i="2" s="1"/>
  <c r="N74" i="2" l="1"/>
  <c r="L74" i="2"/>
  <c r="M74" i="2" s="1"/>
  <c r="K75" i="2" s="1"/>
  <c r="K76" i="2" s="1"/>
  <c r="N75" i="2" l="1"/>
  <c r="O75" i="2" s="1"/>
  <c r="G32" i="2" s="1"/>
  <c r="L75" i="2"/>
  <c r="M75" i="2" s="1"/>
  <c r="O74" i="2"/>
  <c r="N76" i="2" l="1"/>
  <c r="G31" i="2"/>
  <c r="G33" i="2" s="1"/>
  <c r="O7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Tapio Miika (LUKE)</author>
  </authors>
  <commentList>
    <comment ref="G33" authorId="0" shapeId="0" xr:uid="{8C347BE6-772E-4A8F-8F3E-C63FE8774FC8}">
      <text>
        <r>
          <rPr>
            <b/>
            <sz val="9"/>
            <color indexed="81"/>
            <rFont val="Tahoma"/>
            <family val="2"/>
          </rPr>
          <t>Tapio Miika (LUKE):</t>
        </r>
        <r>
          <rPr>
            <sz val="9"/>
            <color indexed="81"/>
            <rFont val="Tahoma"/>
            <family val="2"/>
          </rPr>
          <t xml:space="preserve">
Jos summa eroaa 100%:sta, lisää  tai pienennä joitain arvoa kun kopioit niitä eteenpäin.</t>
        </r>
      </text>
    </comment>
    <comment ref="E48" authorId="0" shapeId="0" xr:uid="{C94589B1-F1B9-467B-B4B5-0DFA9B7B63D5}">
      <text>
        <r>
          <rPr>
            <b/>
            <sz val="9"/>
            <color indexed="81"/>
            <rFont val="Tahoma"/>
            <family val="2"/>
          </rPr>
          <t>Tapio Miika (LUKE):</t>
        </r>
        <r>
          <rPr>
            <sz val="9"/>
            <color indexed="81"/>
            <rFont val="Tahoma"/>
            <family val="2"/>
          </rPr>
          <t xml:space="preserve">
Reseptinmukainen jaettu tavoitteella. Kaikkien tavoite on silloin 1.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Tapio Miika (LUKE)</author>
  </authors>
  <commentList>
    <comment ref="A4" authorId="0" shapeId="0" xr:uid="{A9BB77EA-F301-4998-A611-530563239EDB}">
      <text>
        <r>
          <rPr>
            <b/>
            <sz val="9"/>
            <color indexed="81"/>
            <rFont val="Tahoma"/>
            <family val="2"/>
          </rPr>
          <t>Tapio Miika (LUKE):</t>
        </r>
        <r>
          <rPr>
            <sz val="9"/>
            <color indexed="81"/>
            <rFont val="Tahoma"/>
            <family val="2"/>
          </rPr>
          <t xml:space="preserve">
Olosuhteet, toukkatiheys, substraatti jne. vaikuttavat. Arviointi pilotin avulla.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Tapio Miika (LUKE)</author>
  </authors>
  <commentList>
    <comment ref="A6" authorId="0" shapeId="0" xr:uid="{656E5280-A80C-403B-B4FA-A80DA5B75A6C}">
      <text>
        <r>
          <rPr>
            <b/>
            <sz val="9"/>
            <color indexed="81"/>
            <rFont val="Tahoma"/>
            <family val="2"/>
          </rPr>
          <t>Tapio Miika (LUKE):</t>
        </r>
        <r>
          <rPr>
            <sz val="9"/>
            <color indexed="81"/>
            <rFont val="Tahoma"/>
            <family val="2"/>
          </rPr>
          <t xml:space="preserve">
Kulkureitit, telineet, laitteet, huonekoon ja kasvatusastioiden yhteensopimattomuus jne. voivat johtaa käyttämättömään alaan täydessä tilassa.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Tapio Miika (LUKE)</author>
  </authors>
  <commentList>
    <comment ref="C10" authorId="0" shapeId="0" xr:uid="{5C87B7FE-9EBD-4673-81AA-872D4BED2756}">
      <text>
        <r>
          <rPr>
            <b/>
            <sz val="9"/>
            <color indexed="81"/>
            <rFont val="Tahoma"/>
            <family val="2"/>
          </rPr>
          <t>Tapio Miika (LUKE):</t>
        </r>
        <r>
          <rPr>
            <sz val="9"/>
            <color indexed="81"/>
            <rFont val="Tahoma"/>
            <family val="2"/>
          </rPr>
          <t xml:space="preserve">
Suoraan Resepti -välilehdeltä.</t>
        </r>
      </text>
    </comment>
    <comment ref="D10" authorId="0" shapeId="0" xr:uid="{5131AF18-9071-47DE-99D4-C3634D9A8B7A}">
      <text>
        <r>
          <rPr>
            <b/>
            <sz val="9"/>
            <color indexed="81"/>
            <rFont val="Tahoma"/>
            <family val="2"/>
          </rPr>
          <t>Tapio Miika (LUKE):</t>
        </r>
        <r>
          <rPr>
            <sz val="9"/>
            <color indexed="81"/>
            <rFont val="Tahoma"/>
            <family val="2"/>
          </rPr>
          <t xml:space="preserve">
Suoraan Resepti -välilehdeltä</t>
        </r>
      </text>
    </comment>
    <comment ref="C36" authorId="0" shapeId="0" xr:uid="{07F4EC8F-50F3-400A-BAE6-7727DAB52818}">
      <text>
        <r>
          <rPr>
            <b/>
            <sz val="9"/>
            <color indexed="81"/>
            <rFont val="Tahoma"/>
            <family val="2"/>
          </rPr>
          <t>Tapio Miika (LUKE):</t>
        </r>
        <r>
          <rPr>
            <sz val="9"/>
            <color indexed="81"/>
            <rFont val="Tahoma"/>
            <family val="2"/>
          </rPr>
          <t xml:space="preserve">
Tämä keskeinen optimoinnin paikka.
Jopa 45 ja 40  saattaa olla saavutettivissa. Ilman erityisratkaisuja tuo esitäytetty 0,8 kwh/poistettu kg H2O on ikävän realistinen. (Kosteuksien vaikutus ei päivity suoraan, olettaa n. tyypilliset arvot)</t>
        </r>
      </text>
    </comment>
  </commentList>
</comments>
</file>

<file path=xl/sharedStrings.xml><?xml version="1.0" encoding="utf-8"?>
<sst xmlns="http://schemas.openxmlformats.org/spreadsheetml/2006/main" count="598" uniqueCount="401">
  <si>
    <t>Tämän välilehden avulla voi luoda reseptin, jonka koostumus on lähellä kasvualustan tavoitetta käyttäen annettuja raaka-aineita.</t>
  </si>
  <si>
    <t>Gold et al 2018</t>
  </si>
  <si>
    <t>Ilman optimoitityökalun ("Solver") käyttöä, välilehti toimii koostumuslaskurina ennalta päätetyille resepteille. Kululaskelmaa varten reseptiksi (solut D38:D41)  voi täyttää vuosikeskiarvoa.</t>
  </si>
  <si>
    <t>kts raaka-aineiden koostumustietoja esim. https://www.luke.fi/fi/luonnonvaratieto/tiedetta-ja-tietoa/rehutaulukot-ja-ruokintasuositukset</t>
  </si>
  <si>
    <t>Komponentti</t>
  </si>
  <si>
    <t>ka</t>
  </si>
  <si>
    <t>ka %</t>
  </si>
  <si>
    <t>Raakavalkuainen (g/kg ka)</t>
  </si>
  <si>
    <t>Raakarasva (g/kg ka)</t>
  </si>
  <si>
    <t>Raakakuitu (g/kg ka)</t>
  </si>
  <si>
    <t>NDF-kuitu (g/kg ka)</t>
  </si>
  <si>
    <t>Tärkkelys</t>
  </si>
  <si>
    <t>Sokerit</t>
  </si>
  <si>
    <t>Hiilihydraatit</t>
  </si>
  <si>
    <t>Tuhka</t>
  </si>
  <si>
    <t>A hinta (/t)</t>
  </si>
  <si>
    <t>Tilaa ylläpitää koostumustietoja -&gt;</t>
  </si>
  <si>
    <t>Vehnälese</t>
  </si>
  <si>
    <t>Vehnä</t>
  </si>
  <si>
    <r>
      <rPr>
        <b/>
        <sz val="11"/>
        <color theme="1"/>
        <rFont val="Segoe UI"/>
        <family val="2"/>
        <scheme val="minor"/>
      </rPr>
      <t>Huom.</t>
    </r>
    <r>
      <rPr>
        <sz val="11"/>
        <color theme="1"/>
        <rFont val="Segoe UI"/>
        <family val="2"/>
        <scheme val="minor"/>
      </rPr>
      <t xml:space="preserve"> Tämä aputyökalu ei huomioi raakaineiden</t>
    </r>
  </si>
  <si>
    <t>Kaura</t>
  </si>
  <si>
    <t>fysikaalista muotoa, vaan olettaa hyödyntämiskelpoisen</t>
  </si>
  <si>
    <t>Ohra r.</t>
  </si>
  <si>
    <t>muodon.</t>
  </si>
  <si>
    <t>Rypsirouhe</t>
  </si>
  <si>
    <t>Herne</t>
  </si>
  <si>
    <t>&lt;- täytettävä tai kirjoitettavissa oleva solu</t>
  </si>
  <si>
    <t>näyttää tältä.</t>
  </si>
  <si>
    <t>Ennakkotiedot</t>
  </si>
  <si>
    <t>Alla olevan taulukon täyttäminen suositeltavaa viitteellä yllä säilytettyyn soluun (esim. =F6 tarkoittaa kuudetta riviä sarakkeessa F)</t>
  </si>
  <si>
    <t>Resepti</t>
  </si>
  <si>
    <t>Minimi</t>
  </si>
  <si>
    <t>Maksimi</t>
  </si>
  <si>
    <t>&lt;- Rajat</t>
  </si>
  <si>
    <t>Summa</t>
  </si>
  <si>
    <t>Pitää olla yli 100%</t>
  </si>
  <si>
    <t>Kosteus</t>
  </si>
  <si>
    <t>Totaali</t>
  </si>
  <si>
    <t>kg</t>
  </si>
  <si>
    <r>
      <t xml:space="preserve">Voit käyttää </t>
    </r>
    <r>
      <rPr>
        <b/>
        <sz val="11"/>
        <color theme="2" tint="-0.499984740745262"/>
        <rFont val="Segoe UI"/>
        <family val="2"/>
        <scheme val="minor"/>
      </rPr>
      <t>esimerkiksi</t>
    </r>
    <r>
      <rPr>
        <sz val="11"/>
        <color theme="2" tint="-0.499984740745262"/>
        <rFont val="Segoe UI"/>
        <family val="2"/>
        <scheme val="minor"/>
      </rPr>
      <t xml:space="preserve"> näitä osuuksia optimoinnin aloitukseen. Kopio muistiin alle sarakkeeseen "B" ja alku arvoiksi sarakkeeseen D.</t>
    </r>
  </si>
  <si>
    <r>
      <t xml:space="preserve">Huom: Älä täytä </t>
    </r>
    <r>
      <rPr>
        <sz val="11"/>
        <color theme="5"/>
        <rFont val="Segoe UI"/>
        <family val="2"/>
        <scheme val="minor"/>
      </rPr>
      <t>ensimmäistä solua ('D37')</t>
    </r>
    <r>
      <rPr>
        <sz val="11"/>
        <color theme="2" tint="-0.499984740745262"/>
        <rFont val="Segoe UI"/>
        <family val="2"/>
        <scheme val="minor"/>
      </rPr>
      <t>. Se lasketaan automaattisesti.</t>
    </r>
  </si>
  <si>
    <t>Optimointi ja resepti</t>
  </si>
  <si>
    <t>Alkuarvot</t>
  </si>
  <si>
    <t>Resepti ilman lisättyä vettä</t>
  </si>
  <si>
    <t>Ka osuudet</t>
  </si>
  <si>
    <t>(muistiinpano)</t>
  </si>
  <si>
    <t>(raaka-aine osuus)</t>
  </si>
  <si>
    <t>H2O alkup.</t>
  </si>
  <si>
    <t>osuus</t>
  </si>
  <si>
    <t>&lt;-automaattinen</t>
  </si>
  <si>
    <t>&lt;- optimoi</t>
  </si>
  <si>
    <t>Huom!</t>
  </si>
  <si>
    <t>Osa vedestä voi tulla raaka-aineiden mukana!</t>
  </si>
  <si>
    <t>Alustan (kokonais)kosteuspitoisuus:</t>
  </si>
  <si>
    <t>&lt;- aina 1</t>
  </si>
  <si>
    <t>Lisätyn veden osuus reseptissä:</t>
  </si>
  <si>
    <t>Näiden kosteus</t>
  </si>
  <si>
    <t>Vesi</t>
  </si>
  <si>
    <t>Alustan arvioitu koostumus</t>
  </si>
  <si>
    <t>Painotettu</t>
  </si>
  <si>
    <t>Painottamaton</t>
  </si>
  <si>
    <t>Tavoite</t>
  </si>
  <si>
    <t>Painoarvo (0…1)</t>
  </si>
  <si>
    <t>Reseptinmukainen</t>
  </si>
  <si>
    <t>skaalattu</t>
  </si>
  <si>
    <t>Koostumus</t>
  </si>
  <si>
    <t>g/kg (ka)</t>
  </si>
  <si>
    <t>(0…1)</t>
  </si>
  <si>
    <t>Skaalattu</t>
  </si>
  <si>
    <t>neliöero</t>
  </si>
  <si>
    <t>Valkuainen</t>
  </si>
  <si>
    <t>Rasva</t>
  </si>
  <si>
    <t>Rkuitu</t>
  </si>
  <si>
    <t>NDF</t>
  </si>
  <si>
    <t>Neliöerosumma</t>
  </si>
  <si>
    <t>&lt;- minimoi</t>
  </si>
  <si>
    <t>vesi</t>
  </si>
  <si>
    <t>ka osuudet</t>
  </si>
  <si>
    <t>raakavalkuainen (g/kg ka)</t>
  </si>
  <si>
    <t>Raaka-rasva (g/kg ka)</t>
  </si>
  <si>
    <t>Raaka-kuitu (g/kg ka)</t>
  </si>
  <si>
    <t>Skaalattu tavoitteella</t>
  </si>
  <si>
    <t>kokonais massa kosteana</t>
  </si>
  <si>
    <t>tuhka</t>
  </si>
  <si>
    <t>vesi m</t>
  </si>
  <si>
    <t>lisä</t>
  </si>
  <si>
    <t>Tämän välilehden avulla voi arvioida biokonversion ja häviämän pilottikasvatustulosten perusteella. Tilaa maksimissaan kuudelle kasvatukselle.</t>
  </si>
  <si>
    <t>Kirjallisuuden esimerkkejä, joiden avulla voi tarkistaa tulosten järkevyyden.</t>
  </si>
  <si>
    <t>Alempana myös rehukoostumukseen perustuva menetelmä, joka on linkitetty suoraan "Reseptin perusoptimointi" -välilehden tietoihin.</t>
  </si>
  <si>
    <t>"Biologinen panostuotos" välilehti tarvitsee biokonversio ja häviämä-parametrit, joko itse arvioituna tai alan kirjallisuuteen perustuen.</t>
  </si>
  <si>
    <t>Perusparametrien lasku</t>
  </si>
  <si>
    <t>Toisto 1</t>
  </si>
  <si>
    <t>Toisto 2</t>
  </si>
  <si>
    <t>Toisto 3</t>
  </si>
  <si>
    <t>Toisto 4</t>
  </si>
  <si>
    <t>Toisto 5</t>
  </si>
  <si>
    <t>Toisto 6</t>
  </si>
  <si>
    <t>Keskiarvo</t>
  </si>
  <si>
    <t>Annettua substraattia (kg)</t>
  </si>
  <si>
    <t>Kuivaa toukkaa</t>
  </si>
  <si>
    <t>Substraatin kosteus</t>
  </si>
  <si>
    <t>kg/toisto</t>
  </si>
  <si>
    <t>Valmiita toukkia (kg)</t>
  </si>
  <si>
    <t>Tuotekuivaa toukkaa (~90% ka)</t>
  </si>
  <si>
    <t>Toukkien kosteus %</t>
  </si>
  <si>
    <t>Valmista toukkapurua (kg)</t>
  </si>
  <si>
    <t>Kuivaa purua</t>
  </si>
  <si>
    <t>Toukkapurun kosteus %</t>
  </si>
  <si>
    <t>Biokonversio (ka):</t>
  </si>
  <si>
    <t>Häviämä (ka):</t>
  </si>
  <si>
    <t>Kasvatetun toukkamassan määrä (prosentteina) suhteessa rehun määrään (ka) 7-35%, riippuu</t>
  </si>
  <si>
    <t xml:space="preserve">riippuu mm. ravintoainetiheydestä tai vastaavasti esim kuitujen määrästä. </t>
  </si>
  <si>
    <t xml:space="preserve">Tavallinen viljaperusteinen tasapainoinen  ~15-25%, tyypillinen valmistettu (ihmis)ruoka ~20-30%. </t>
  </si>
  <si>
    <t>"Hyvä jäte" -tyyppinen n. 15%. Alle 7% on hyvin huono, ellei toukkapuru ole päätuote.</t>
  </si>
  <si>
    <t>Rehun mukainen häviämä</t>
  </si>
  <si>
    <t>(kts. kuva oikealla)</t>
  </si>
  <si>
    <t>kts. "Reseptin perusoptimointi" "Alustan arvioitu koostumus"</t>
  </si>
  <si>
    <t>Tyypillisesti pyritään noin 80% häviämään.</t>
  </si>
  <si>
    <t>Häviämä</t>
  </si>
  <si>
    <t>Vaihtoehtoisesti häviämää voidaan arvioida substraatin koostukseen</t>
  </si>
  <si>
    <t>ja komponenttikohtaiseen häviämään perustuen.</t>
  </si>
  <si>
    <t>Häviämän vaihtelualue perusoptimoinnin mukaisella alustalla:</t>
  </si>
  <si>
    <t>Pyrittävä käytäntöihin, joilla tämä karkea maksimi saavutetaan.</t>
  </si>
  <si>
    <t>Tämä yksinkertainen arvio on vain suuntaa antava, eikä perustu  laajaan aineistoon!</t>
  </si>
  <si>
    <t>Esimerkiksi toukkatiheyden säätäminen, raaka-aineiden jauhaminen jne.</t>
  </si>
  <si>
    <t>voi auttaa saavuttamaan hyvän häviämän ja  hyvän kasvun.</t>
  </si>
  <si>
    <t>Muut orgaaniset.</t>
  </si>
  <si>
    <t>(NDF korjataan ettei "muut orgaaniset" ole negatiivinen!)</t>
  </si>
  <si>
    <t>Min</t>
  </si>
  <si>
    <t>Maks</t>
  </si>
  <si>
    <t>Vertailukohta</t>
  </si>
  <si>
    <t>Toukan koon ennustaminen Kieβling ym. (2023) mukaan. Hiilihydraatin oltava yli 20. Korkeampi valkuaisen osuus lisää kokoa,</t>
  </si>
  <si>
    <t>mutta liian korkea lisää kuolleisuutta ja lisää ammoniumin määrää frassissa. Rasvan optimi on ~10 ja tärkeää pitää yli 5:n.</t>
  </si>
  <si>
    <t>Huom. Kokoon vaikuttaa myös muita tekijöitä.</t>
  </si>
  <si>
    <t>g/100g (ka)</t>
  </si>
  <si>
    <t>Hiilihydraattien ja proteiinin suhde on myös tärkeä. Arvo 2...3,5 on hyvä.</t>
  </si>
  <si>
    <t>Alempi huonontaa rehunkäyttöä ja aiheuttaa kuolleisuutta, korkeampi lähinnä heikentää rehun käyttöä.</t>
  </si>
  <si>
    <t>Tällä suhteella kokonaistuotto on parempaa. (Myös korkeampi rasvapitoisuus voi auttaa, jos arvo on liian alhainen)</t>
  </si>
  <si>
    <t>b0</t>
  </si>
  <si>
    <t>Ennuste:</t>
  </si>
  <si>
    <t>b1</t>
  </si>
  <si>
    <t>Hiilih/Valk:</t>
  </si>
  <si>
    <t>Rehunkäyttö:</t>
  </si>
  <si>
    <t xml:space="preserve"> Eggink ym. (2023)</t>
  </si>
  <si>
    <t>b2</t>
  </si>
  <si>
    <t>Eloonjäämisaste:</t>
  </si>
  <si>
    <t>b3</t>
  </si>
  <si>
    <t>Odotettu keskipaino (mg)</t>
  </si>
  <si>
    <t xml:space="preserve"> = b0 + b1 ⋅ rasva + b2 ⋅ valkuainen + b3 ⋅ rasva^2</t>
  </si>
  <si>
    <t xml:space="preserve">Tämän välilehden avulla voi arvioida mahdollisen kasvatusmittakaavan. </t>
  </si>
  <si>
    <t>Perustiedot</t>
  </si>
  <si>
    <t>Perusgeometria</t>
  </si>
  <si>
    <t>Toukkakasvatusalue (m2)</t>
  </si>
  <si>
    <t>Alan hukkaprosentti</t>
  </si>
  <si>
    <t>Kuinka suuri osa kasvatusalueesta menee telineisiin, laatikoiden reunoihin jne. eikä ole kasvatuskäytössä oikeasti (kulkuväylät kannattaa pitää erillisenä alana).</t>
  </si>
  <si>
    <t>Kasvatuskerroksien lkm</t>
  </si>
  <si>
    <t>Laatikon mitat (m)</t>
  </si>
  <si>
    <t>m</t>
  </si>
  <si>
    <t>Laatikkotornien lukumäärä</t>
  </si>
  <si>
    <t>kpl</t>
  </si>
  <si>
    <t>Laatikoiden maksimilukumäärä</t>
  </si>
  <si>
    <t>Rehumitat</t>
  </si>
  <si>
    <t>Rehukerroksen paksuus</t>
  </si>
  <si>
    <t>cm</t>
  </si>
  <si>
    <t>Karkean säännön mukaan yli 7 cm paksuuksissa osa rehusta jää käyttämättä hapettomuuden vuoksi.</t>
  </si>
  <si>
    <t>Rehun tiheys</t>
  </si>
  <si>
    <t>kg/l</t>
  </si>
  <si>
    <t>(märkä puuro ~1, ilmava 0.6)</t>
  </si>
  <si>
    <t>Rehun määrä (ka)/toukka/päivä</t>
  </si>
  <si>
    <t>mg</t>
  </si>
  <si>
    <t>Hyvä "rehu" 15-40 mg, kuitupitoisemmat sivuvirrat jne 50-90 mg per toukka per päivä, riippuen olosuhteista, substraatista ja kasvatustavoitteesta. Huom 35 mg ka vastaa 100 mg kosteus-65%. Optimoimiseksi esimerkiksi testikasvaus sarja 15 mg:n välein.</t>
  </si>
  <si>
    <t>Orgaaniset ominaisuudet</t>
  </si>
  <si>
    <t>Biokonversio% (ka)</t>
  </si>
  <si>
    <t>Kasvatetun toukkamassan määrä (prosentteina) suhteessa rehun määrään (ka) 7-35%, riippuen ravintoainetiheydestä tai vastaavasti esim kuitujen määrästä. Tasapainoinen viljaa sisältävaä ~15-20%, ihmisravinto ~25-30%. Voidaan täyttää myös viitteellä esim "='Biologinen tehokkuus'!J11"</t>
  </si>
  <si>
    <t>Häviämä (ka)</t>
  </si>
  <si>
    <t>Kyseiselle rehulle tyypillinen kuiva-ainemassan häviämä. Riippuu erityisesti sulamattoman kuidun ja mineraalien määrästä, kun kasvualustanmäärä on lähellä optimia. Voidaan täyttää myös viitteellä esim "='Biologinen tehokkuus'!J12"</t>
  </si>
  <si>
    <t>FCR (ka/ka)</t>
  </si>
  <si>
    <t>Rehun muutosuhde. Yksinkertainen häviämä/biokonversio (ka/ka arvio vaihtelee n 1,5 - 5, yleensä raportoidaa ma/ka, joka vaihtelee 0.5 - 1,5)</t>
  </si>
  <si>
    <t>Toukkien loppukosteus</t>
  </si>
  <si>
    <t>Hyönteispurun kosteus, kun toukat erotellaan kasvatusalustasta (hyönteispurusta)</t>
  </si>
  <si>
    <t>Toukkajauheen kosteus</t>
  </si>
  <si>
    <t>Samaa käytetään proteiinijauholle ja täysjauholle</t>
  </si>
  <si>
    <t>Toukkien rasvapitoisuus (ka)</t>
  </si>
  <si>
    <t>Toukkien proteiinipitoisuus (ka)</t>
  </si>
  <si>
    <t>Toukkien kitiinipitoisuus (ka)</t>
  </si>
  <si>
    <t>Hyönteispurun loppukosteus</t>
  </si>
  <si>
    <t>Hyönteispurulannoitteen kosteus</t>
  </si>
  <si>
    <t>Kasvatettujen toukkien tavoite keskikoko</t>
  </si>
  <si>
    <t>Toukista ja menetelmistä riippuen 140-350 mg, eläinproteiinituotannossa usein tyydytään pienempiin vähemmän rasvaisiin toukkiin (&lt;220 mg).</t>
  </si>
  <si>
    <t>Kierto</t>
  </si>
  <si>
    <t>Syöntiaika (pv)</t>
  </si>
  <si>
    <t>Montako päivää annetaan kasvaa, laskennallien suositeltu maksimi on toukkien keskikoon ajoittumisen huippu.</t>
  </si>
  <si>
    <t>Kiertojen välinen aika (pv)</t>
  </si>
  <si>
    <t>Sisältää prosessoinnit, siivouksen, odotusajan jne. jos näihin varataan aikaa.</t>
  </si>
  <si>
    <t>Kierron kokonaiskesto (pv)</t>
  </si>
  <si>
    <t>Tuotannon jako rinnakkaisiin kasvatuksiin lkm</t>
  </si>
  <si>
    <t>"1", jos koko tila täytetään kerralla ja "2" jos tehdään kahdessa osassa jne. Voidaan käyttää työ, rehu jne. määrien jakautumisen arviointiin.</t>
  </si>
  <si>
    <t>Materiaali per kierto</t>
  </si>
  <si>
    <t xml:space="preserve">Alustaa per laatikko </t>
  </si>
  <si>
    <t>Suositeltu määrä toukkia per laatikko</t>
  </si>
  <si>
    <t>Toukkia/laatikko:</t>
  </si>
  <si>
    <t>Voi täyttää käsin tai soluviitteellä laskennalliseen (esim "=ROUND(B37; -3)").</t>
  </si>
  <si>
    <t>^ toukkamäärälle alustan määrä</t>
  </si>
  <si>
    <t>Mikäli pikkutoukkapanoksen koko on eri kuin ehdotettu, voit käyttää tätä kasvualustan määärän säätämiseen.</t>
  </si>
  <si>
    <t>Alustaa per laatikko</t>
  </si>
  <si>
    <t>Voi täyttää käsin tai soluviitteellä laskennalliseen (esim "=ROUND(B40;0)").</t>
  </si>
  <si>
    <t>Toukkia per tehokas laatikko m2</t>
  </si>
  <si>
    <t>Toukkia per huone m2</t>
  </si>
  <si>
    <t>Toukkia kasvatusalueella yhteensä</t>
  </si>
  <si>
    <t>Jos täysi.</t>
  </si>
  <si>
    <t>Toukkia per kierto</t>
  </si>
  <si>
    <t>Kertoo myös pientoukkien määrän per kierto.</t>
  </si>
  <si>
    <t>Alustaa per tehokas laatikko m2</t>
  </si>
  <si>
    <t>Alustaa per huone m2</t>
  </si>
  <si>
    <t>Alustaa kasvatusalueella yhteensä</t>
  </si>
  <si>
    <t>Alustaa per rinnakkainen kierto</t>
  </si>
  <si>
    <t>Materiaali per kk</t>
  </si>
  <si>
    <t>Päiviä kk</t>
  </si>
  <si>
    <t>Perättäisiä kiertoja per kk</t>
  </si>
  <si>
    <t>Panos (kk)</t>
  </si>
  <si>
    <t>Toukkia per kk</t>
  </si>
  <si>
    <t>kpl/kk</t>
  </si>
  <si>
    <t>Laskettu kasvatustilan maksimitäytöllä</t>
  </si>
  <si>
    <t>Alustaa per kk (märkäpaino)</t>
  </si>
  <si>
    <t>kg/kk</t>
  </si>
  <si>
    <t>Alustaan lisättyä vettä per kk</t>
  </si>
  <si>
    <t>m3/kk</t>
  </si>
  <si>
    <t>Alustaa per kk (raaka-aineita ilman lisättyä vettä)</t>
  </si>
  <si>
    <t>Raaka-aineet:</t>
  </si>
  <si>
    <t>Laatikoita</t>
  </si>
  <si>
    <t>kpl käytetty/kk</t>
  </si>
  <si>
    <t>Tuotos (kk)</t>
  </si>
  <si>
    <t>Toukka ka</t>
  </si>
  <si>
    <t>Toukkarasva</t>
  </si>
  <si>
    <t>Huom. Käytännössä fraktiointi ei ole täydellistä. Osa rasvasta jää pois ja osa proteiineista tulee mukaan.</t>
  </si>
  <si>
    <t>Rasvaton toukka</t>
  </si>
  <si>
    <t>Sis. loppukosteuden</t>
  </si>
  <si>
    <t>Toukkaproteiini</t>
  </si>
  <si>
    <t>Toukka tuore</t>
  </si>
  <si>
    <t>Toukka paino biokonversiolla (käyttö)</t>
  </si>
  <si>
    <t>Ei oleta kuolleisuutta. Keskikoko on hyvin helppoa yliarvioida, koska pienimmät toukat jäävät helposti pois mittauksista.</t>
  </si>
  <si>
    <t>Toukka lkm (käyttö)</t>
  </si>
  <si>
    <t>Alustan määrään suhteutettu toukkien lukumäärä. Todellinen jos ei häviöitä.</t>
  </si>
  <si>
    <t>Toukka lkm tavoitekoolla</t>
  </si>
  <si>
    <t>Alustan odotettu biokonversio toukkamassaksi/toukkien toivottu keskikoko. Todellinen jos vastaa tavoitekoko on hyvin arvioitu todellinen keskikoko. Yleensä keskikoon arvio on liian suuri.</t>
  </si>
  <si>
    <t>Toukka lkm suhde (tavoitekoolla/ käyttö)</t>
  </si>
  <si>
    <t xml:space="preserve">Karkea mittari toukkatiheyden ja tavoitekoon yhteensopimisesta (olettaen asetetun ravinnontarpeen). &lt;&lt;100% odotetaanko keskikooksi liian suurta? </t>
  </si>
  <si>
    <t>Toukkapurua</t>
  </si>
  <si>
    <t>Välituote</t>
  </si>
  <si>
    <t>Toukkapurulannoitetta</t>
  </si>
  <si>
    <t>Lopputuote</t>
  </si>
  <si>
    <t>Materiaali per vuosi</t>
  </si>
  <si>
    <t>Kuukausia</t>
  </si>
  <si>
    <t>Panos per vuosi</t>
  </si>
  <si>
    <t>Pikkutoukkia per vuosi</t>
  </si>
  <si>
    <t>kpl/vuosi</t>
  </si>
  <si>
    <t>milj/vuosi</t>
  </si>
  <si>
    <t>Alustaa per vuosi (märkäpaino)</t>
  </si>
  <si>
    <t>kg/vuosi</t>
  </si>
  <si>
    <t>t/vuosi</t>
  </si>
  <si>
    <t>Alustaan lisättyä vettä</t>
  </si>
  <si>
    <t>m3/vuosi</t>
  </si>
  <si>
    <t>Alustan raaka-aineita (ei vesi)</t>
  </si>
  <si>
    <t>kpl käytetty/vuosi</t>
  </si>
  <si>
    <t>Tuotos per vuosi</t>
  </si>
  <si>
    <t>lkm/vuosi</t>
  </si>
  <si>
    <t xml:space="preserve">Laskuri työmäärän arviointiin. Jokainen taulukon täytettävä (punertavat) solu antaa erillisen panoksen rivin työmääräarvioon. Käytä niitä sarakkeita, joiden avulla pystyt muodostamaan järkevän työmääräarvion. </t>
  </si>
  <si>
    <t xml:space="preserve">Jos esim jonkin asian aloittaminen vie aina tietyn ajan, laske montako aloitusta per kk ja kuinka paljon per kerta ja täytä h per kk sarakkeeseen. </t>
  </si>
  <si>
    <t>Sen jälkeen muodosta varsinaiseen työhön kuluva aika käyttäen pääosin muita sarakkeita, jotta työmääräarvio skaalautuu automaattisesti laskurin perusparametrien muuttuessa.</t>
  </si>
  <si>
    <t>h/työpäivä</t>
  </si>
  <si>
    <t>työpäivää/kk</t>
  </si>
  <si>
    <t>Kuukaudessa kasvatuksia</t>
  </si>
  <si>
    <t>-&gt; Täysiä torneja</t>
  </si>
  <si>
    <t>Ala (m2)</t>
  </si>
  <si>
    <t>Kuukaudessa tonneja</t>
  </si>
  <si>
    <t>Vaihe</t>
  </si>
  <si>
    <t>Tehtävä</t>
  </si>
  <si>
    <t>h per kk</t>
  </si>
  <si>
    <t>s per laatikko</t>
  </si>
  <si>
    <t>min per torni</t>
  </si>
  <si>
    <t>h per m2 per kk</t>
  </si>
  <si>
    <t>h per t kasvualustaa</t>
  </si>
  <si>
    <t>h per t kuivaa toukkaa</t>
  </si>
  <si>
    <t>h per t toukanpurulannoitetta</t>
  </si>
  <si>
    <t>Yhteensä tp per kk</t>
  </si>
  <si>
    <t>h per tpvä</t>
  </si>
  <si>
    <t>Kasvatus</t>
  </si>
  <si>
    <t>Aloitus</t>
  </si>
  <si>
    <t>Inkubointi</t>
  </si>
  <si>
    <t>Purku</t>
  </si>
  <si>
    <t>Prosessointi</t>
  </si>
  <si>
    <t>Kasvatusalusta</t>
  </si>
  <si>
    <t>Tuotteiden yhteinen</t>
  </si>
  <si>
    <t>Tuotteet, toukat</t>
  </si>
  <si>
    <t>Tuotteet, toukkapuru</t>
  </si>
  <si>
    <t>Ylläpito</t>
  </si>
  <si>
    <t>Siivous, pesut, korjaukset</t>
  </si>
  <si>
    <t>Seuranta ja laadunvalvonta</t>
  </si>
  <si>
    <t>Siirrot, varastointi tai logistiikka</t>
  </si>
  <si>
    <t>Tuntia yhteensä per kk:</t>
  </si>
  <si>
    <t>Htkk yhteensä per kk:</t>
  </si>
  <si>
    <t>&lt;- henkilöstön tarve</t>
  </si>
  <si>
    <t xml:space="preserve">Laskuri materiaalien arviointiin. Jokainen taulukon täytettävä (punertavat) solu antaa erillisen panoksen rivin summaan. Käytä niitä sarakkeita, joiden avulla pystyt muodostamaan järkevän työmääräarvion. </t>
  </si>
  <si>
    <t>Jos esim. jostain maksetaan ajan mukaan käytöstä riippumatta, laske kk kulu. Muuten sovita käyttöön muiden sarakkeiden avulla.</t>
  </si>
  <si>
    <t>Kuukaudessa tuoretonneja</t>
  </si>
  <si>
    <t>Kuukaudessa kasvualustaa (t)</t>
  </si>
  <si>
    <t>Kuukaudessa kuivaa toukkaa (t)</t>
  </si>
  <si>
    <t>Kuukaudessa lannoitetta (t)</t>
  </si>
  <si>
    <t>Kasvualusta</t>
  </si>
  <si>
    <t>per t kasvualustaa</t>
  </si>
  <si>
    <t>t per kk</t>
  </si>
  <si>
    <t>eur per kk</t>
  </si>
  <si>
    <t>&lt;-</t>
  </si>
  <si>
    <t>per kk  (eur)</t>
  </si>
  <si>
    <t>per laatikko (eur)</t>
  </si>
  <si>
    <t>per torni  (eur)</t>
  </si>
  <si>
    <t>per m2 per kk (eur)</t>
  </si>
  <si>
    <t>per t kasvualustaa (eur)</t>
  </si>
  <si>
    <t>per t kuivaa toukkaa (eur)</t>
  </si>
  <si>
    <t>per t toukanpurulannoitetta (eur)</t>
  </si>
  <si>
    <t>Poikaskustannus</t>
  </si>
  <si>
    <t>Sähkö (kWh)</t>
  </si>
  <si>
    <t>a hinta</t>
  </si>
  <si>
    <t>per kk</t>
  </si>
  <si>
    <t>per laatikko</t>
  </si>
  <si>
    <t>per torni</t>
  </si>
  <si>
    <t>per m2 per kk</t>
  </si>
  <si>
    <t>per t kuivaa toukkaa</t>
  </si>
  <si>
    <t>per t toukanpurulannoitetta</t>
  </si>
  <si>
    <t>Yhteensä per kk</t>
  </si>
  <si>
    <t>Yhteensä eur per kk</t>
  </si>
  <si>
    <t>Säilytys</t>
  </si>
  <si>
    <t>Sekoitus</t>
  </si>
  <si>
    <t>Kuljetus</t>
  </si>
  <si>
    <t>Ruokinta</t>
  </si>
  <si>
    <t>Olosuhteiden ylläpito</t>
  </si>
  <si>
    <t>Muut</t>
  </si>
  <si>
    <t xml:space="preserve">Lämmön ylläpito </t>
  </si>
  <si>
    <t>Hyönteisten erottelu</t>
  </si>
  <si>
    <t>Murskaus</t>
  </si>
  <si>
    <t>Pelletöinti</t>
  </si>
  <si>
    <t>Fraktiointi</t>
  </si>
  <si>
    <t>Kuivaus</t>
  </si>
  <si>
    <t>Tuotteet</t>
  </si>
  <si>
    <t>Hygienisointi</t>
  </si>
  <si>
    <t>Pesuvesi (m3)</t>
  </si>
  <si>
    <t>Pesut</t>
  </si>
  <si>
    <t>Tuotteden käsittely</t>
  </si>
  <si>
    <t>Suoraan euromääräisesti arvioitavat:</t>
  </si>
  <si>
    <t>Kemikaalit</t>
  </si>
  <si>
    <t>(materiaali)</t>
  </si>
  <si>
    <t>(vaihe)</t>
  </si>
  <si>
    <t>(tehtävä)</t>
  </si>
  <si>
    <t>Kasvatusastioiden korvaus</t>
  </si>
  <si>
    <t>Laatikon rikkoutumistodennäköisyys per kasvatus</t>
  </si>
  <si>
    <t>Ei tarvitse olla täydellinen (tai täysin eritelty), mutta riittävän hyvä.</t>
  </si>
  <si>
    <t>Yhteenveto kuukausikustannuksista</t>
  </si>
  <si>
    <t>Rehukustannus</t>
  </si>
  <si>
    <t>Sähkökustannus</t>
  </si>
  <si>
    <t>Yhteensä</t>
  </si>
  <si>
    <t>Tämän välilehden avulla voi arvioida juoksevat kulut. Materiaalitkulut ja työmäärä yksilöity erillään kk tasolla.  Tänne yhteenveto ja ostopalvelut?</t>
  </si>
  <si>
    <t>Tuotantokuukausia</t>
  </si>
  <si>
    <t>?</t>
  </si>
  <si>
    <t>Lyhennysaika</t>
  </si>
  <si>
    <t>vuotta</t>
  </si>
  <si>
    <t>Korko</t>
  </si>
  <si>
    <t>Rakennus</t>
  </si>
  <si>
    <t>Hankintahinta</t>
  </si>
  <si>
    <t>/m2</t>
  </si>
  <si>
    <t>m2</t>
  </si>
  <si>
    <t>Poisto</t>
  </si>
  <si>
    <t>Kunnossapito</t>
  </si>
  <si>
    <t>ostoarvosta/vuosi</t>
  </si>
  <si>
    <t>Kiinteät laitteet</t>
  </si>
  <si>
    <t>Tuotot päivitetään tiedossa olevan hinnan mukaan.</t>
  </si>
  <si>
    <t>Hinta</t>
  </si>
  <si>
    <t>Kuivattu toukka</t>
  </si>
  <si>
    <t>/kg</t>
  </si>
  <si>
    <t>Huom kulupuolella on mukana rasvan fraktiointi, mutta se on pieni</t>
  </si>
  <si>
    <t>Tuore toukka</t>
  </si>
  <si>
    <t>Toukkapurulannoite</t>
  </si>
  <si>
    <t>https://doi.org/10.1016/j.wasman.2018.10.022</t>
  </si>
  <si>
    <t xml:space="preserve"> Essential amino acids (in g/100 g proteins) of BSFL prepupae and of biowaste typically used in BSFL treatment.</t>
  </si>
  <si>
    <t>Decomposition of biowaste macronutrients, microbes, and chemicals in</t>
  </si>
  <si>
    <t xml:space="preserve">Gold, M., Tomberlin, J. K., Diener, S., Zurbrügg, C., &amp; Mathys, A. (2018). </t>
  </si>
  <si>
    <t xml:space="preserve"> black soldier fly larval treatment: A review. Waste Management, 82,  302-318.</t>
  </si>
  <si>
    <t xml:space="preserve"> Relationship between substrate composition and larval weight: a simple growth model for</t>
  </si>
  <si>
    <t>Kieβling, M., Franke, K., Heinz, V., &amp; Aganovic, K. (2023).</t>
  </si>
  <si>
    <t xml:space="preserve"> black soldier fly larvae. Journal of Insects as Food and Feed, 9(8), 1027-1036.</t>
  </si>
  <si>
    <t>https://doi.org/10.3920/JIFF2022.0096</t>
  </si>
  <si>
    <t>Optimal dietary protein to carbohydrate ratio for black soldier fly (Hermetia illucens)</t>
  </si>
  <si>
    <t>larvae. Journal of Insects as Food and Feed, 9(6), 789-798.</t>
  </si>
  <si>
    <t xml:space="preserve">Eggink, K. M., Donoso, I. G., &amp; Dalsgaard, J. (2023).  </t>
  </si>
  <si>
    <t>Muut materiaalit</t>
  </si>
  <si>
    <t xml:space="preserve"> https://doi.org/10.3920/JIFF2022.0102  </t>
  </si>
  <si>
    <t>Työkalut laatinut Miika Tapio, Luke</t>
  </si>
  <si>
    <t>miika.tapio@luke.fi</t>
  </si>
  <si>
    <t>Alimentum, Myllytie 1, 31600 Jokioinen</t>
  </si>
  <si>
    <t>Talouslaskentatyökalu</t>
  </si>
  <si>
    <t>Mustasotilaskärpäsen tuotanto</t>
  </si>
  <si>
    <t>Miika Tapio, Luonnonvarakeskus (Luke)                                                                                                                                                                                                      Alimentum, Myllytie 1, 31600 Jokioinen                                                                                                                                                           miika.tapio@luke.fi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</si>
</sst>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* #,##0.00\ &quot;€&quot;_-;\-* #,##0.00\ &quot;€&quot;_-;_-* &quot;-&quot;??\ &quot;€&quot;_-;_-@_-"/>
    <numFmt numFmtId="164" formatCode="0.0\ %"/>
    <numFmt numFmtId="165" formatCode="0.0"/>
    <numFmt numFmtId="166" formatCode="0\ %;[Red]\ \ \-0\ %"/>
    <numFmt numFmtId="167" formatCode="0.0\ %;[Red]\ \ \-0.0\ %"/>
    <numFmt numFmtId="168" formatCode="0.0000"/>
    <numFmt numFmtId="169" formatCode="0_ ;[Red]\-0\ "/>
    <numFmt numFmtId="170" formatCode="###,###,###,###,###"/>
    <numFmt numFmtId="171" formatCode="#,##0.00&quot; €&quot;"/>
    <numFmt numFmtId="172" formatCode="#,##0.00\ &quot;€&quot;"/>
    <numFmt numFmtId="173" formatCode="[$-F400]h:mm:ss\ AM/PM"/>
    <numFmt numFmtId="174" formatCode="0.000"/>
  </numFmts>
  <fonts count="37" x14ac:knownFonts="1">
    <font>
      <sz val="11"/>
      <color theme="1"/>
      <name val="Segoe UI"/>
      <family val="2"/>
      <scheme val="minor"/>
    </font>
    <font>
      <sz val="11"/>
      <color rgb="FF3F3F76"/>
      <name val="Segoe UI"/>
      <family val="2"/>
      <scheme val="minor"/>
    </font>
    <font>
      <b/>
      <sz val="11"/>
      <color rgb="FF3F3F3F"/>
      <name val="Segoe UI"/>
      <family val="2"/>
      <scheme val="minor"/>
    </font>
    <font>
      <b/>
      <sz val="11"/>
      <color theme="1"/>
      <name val="Segoe UI"/>
      <family val="2"/>
      <scheme val="minor"/>
    </font>
    <font>
      <sz val="11"/>
      <color rgb="FFFF0000"/>
      <name val="Segoe UI"/>
      <family val="2"/>
      <scheme val="minor"/>
    </font>
    <font>
      <sz val="11"/>
      <color theme="2" tint="-0.499984740745262"/>
      <name val="Segoe UI"/>
      <family val="2"/>
      <scheme val="minor"/>
    </font>
    <font>
      <b/>
      <sz val="13"/>
      <color theme="3"/>
      <name val="Segoe UI"/>
      <family val="2"/>
      <scheme val="minor"/>
    </font>
    <font>
      <b/>
      <sz val="11"/>
      <color theme="3"/>
      <name val="Segoe UI"/>
      <family val="2"/>
      <scheme val="minor"/>
    </font>
    <font>
      <b/>
      <sz val="11"/>
      <color rgb="FFFA7D00"/>
      <name val="Segoe UI"/>
      <family val="2"/>
      <scheme val="minor"/>
    </font>
    <font>
      <b/>
      <sz val="11"/>
      <color theme="0"/>
      <name val="Segoe UI"/>
      <family val="2"/>
      <scheme val="minor"/>
    </font>
    <font>
      <sz val="11"/>
      <color theme="0"/>
      <name val="Segoe UI"/>
      <family val="2"/>
      <scheme val="minor"/>
    </font>
    <font>
      <sz val="11"/>
      <color theme="2" tint="-0.749992370372631"/>
      <name val="Segoe UI"/>
      <family val="2"/>
      <scheme val="minor"/>
    </font>
    <font>
      <b/>
      <sz val="11"/>
      <color rgb="FF3F3F76"/>
      <name val="Segoe UI"/>
      <family val="2"/>
      <scheme val="minor"/>
    </font>
    <font>
      <b/>
      <sz val="11"/>
      <color rgb="FF0070C0"/>
      <name val="Segoe UI"/>
      <family val="2"/>
      <scheme val="minor"/>
    </font>
    <font>
      <b/>
      <sz val="11"/>
      <color theme="5" tint="-0.499984740745262"/>
      <name val="Segoe UI"/>
      <family val="2"/>
      <scheme val="minor"/>
    </font>
    <font>
      <b/>
      <sz val="11"/>
      <color theme="2" tint="-0.749992370372631"/>
      <name val="Segoe UI"/>
      <family val="2"/>
      <scheme val="minor"/>
    </font>
    <font>
      <i/>
      <sz val="11"/>
      <color theme="1"/>
      <name val="Segoe U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0" tint="-0.499984740745262"/>
      <name val="Segoe UI"/>
      <family val="2"/>
      <scheme val="minor"/>
    </font>
    <font>
      <sz val="11"/>
      <color theme="0" tint="-0.499984740745262"/>
      <name val="Segoe UI"/>
      <family val="2"/>
      <scheme val="minor"/>
    </font>
    <font>
      <b/>
      <i/>
      <sz val="11"/>
      <color theme="0" tint="-0.499984740745262"/>
      <name val="Segoe UI"/>
      <family val="2"/>
      <scheme val="minor"/>
    </font>
    <font>
      <b/>
      <sz val="11"/>
      <color theme="0" tint="-0.499984740745262"/>
      <name val="Segoe UI"/>
      <family val="2"/>
      <scheme val="minor"/>
    </font>
    <font>
      <sz val="8"/>
      <name val="Segoe UI"/>
      <family val="2"/>
      <scheme val="minor"/>
    </font>
    <font>
      <sz val="11"/>
      <color theme="4"/>
      <name val="Segoe UI"/>
      <family val="2"/>
      <scheme val="minor"/>
    </font>
    <font>
      <sz val="12"/>
      <color rgb="FF54585A"/>
      <name val="Arial"/>
      <family val="2"/>
    </font>
    <font>
      <sz val="10"/>
      <name val="Times New Roman"/>
      <family val="1"/>
    </font>
    <font>
      <b/>
      <sz val="15"/>
      <color theme="3"/>
      <name val="Segoe UI"/>
      <family val="2"/>
      <scheme val="minor"/>
    </font>
    <font>
      <b/>
      <sz val="11"/>
      <color theme="2" tint="-0.499984740745262"/>
      <name val="Segoe UI"/>
      <family val="2"/>
      <scheme val="minor"/>
    </font>
    <font>
      <i/>
      <sz val="9"/>
      <color theme="2" tint="-0.499984740745262"/>
      <name val="Segoe UI"/>
      <family val="2"/>
      <scheme val="minor"/>
    </font>
    <font>
      <sz val="11"/>
      <color theme="5"/>
      <name val="Segoe UI"/>
      <family val="2"/>
      <scheme val="minor"/>
    </font>
    <font>
      <b/>
      <sz val="12"/>
      <color theme="1"/>
      <name val="Segoe UI"/>
      <family val="2"/>
      <scheme val="minor"/>
    </font>
    <font>
      <u/>
      <sz val="11"/>
      <color theme="10"/>
      <name val="Segoe UI"/>
      <family val="2"/>
      <scheme val="minor"/>
    </font>
    <font>
      <sz val="10"/>
      <color rgb="FF222222"/>
      <name val="Arial"/>
      <family val="2"/>
    </font>
    <font>
      <sz val="16"/>
      <color theme="1"/>
      <name val="Segoe UI"/>
      <family val="2"/>
      <scheme val="minor"/>
    </font>
    <font>
      <sz val="48"/>
      <color theme="0"/>
      <name val="Segoe UI"/>
      <family val="2"/>
      <scheme val="minor"/>
    </font>
    <font>
      <sz val="36"/>
      <color theme="0"/>
      <name val="Segoe U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249977111117893"/>
        <bgColor indexed="64"/>
      </patternFill>
    </fill>
    <fill>
      <patternFill patternType="solid">
        <fgColor theme="5" tint="0.749992370372631"/>
        <bgColor indexed="64"/>
      </patternFill>
    </fill>
  </fills>
  <borders count="3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rgb="FF7F7F7F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rgb="FF7F7F7F"/>
      </top>
      <bottom style="thin">
        <color rgb="FF7F7F7F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rgb="FF7F7F7F"/>
      </top>
      <bottom style="thin">
        <color theme="9" tint="-0.24997711111789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9" tint="-0.249977111117893"/>
      </left>
      <right style="thin">
        <color rgb="FF7F7F7F"/>
      </right>
      <top style="thin">
        <color theme="9" tint="-0.249977111117893"/>
      </top>
      <bottom style="thin">
        <color rgb="FF7F7F7F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rgb="FF7F7F7F"/>
      </bottom>
      <diagonal/>
    </border>
    <border>
      <left style="thin">
        <color theme="9" tint="-0.249977111117893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theme="9" tint="-0.249977111117893"/>
      </right>
      <top style="thin">
        <color rgb="FF7F7F7F"/>
      </top>
      <bottom style="thin">
        <color rgb="FF7F7F7F"/>
      </bottom>
      <diagonal/>
    </border>
    <border>
      <left style="thin">
        <color theme="9" tint="-0.249977111117893"/>
      </left>
      <right style="thin">
        <color rgb="FF7F7F7F"/>
      </right>
      <top style="thin">
        <color rgb="FF7F7F7F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rgb="FF7F7F7F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8" fillId="3" borderId="1" applyNumberFormat="0" applyAlignment="0" applyProtection="0"/>
    <xf numFmtId="0" fontId="10" fillId="4" borderId="0" applyNumberFormat="0" applyBorder="0" applyAlignment="0" applyProtection="0"/>
    <xf numFmtId="0" fontId="27" fillId="0" borderId="28" applyNumberFormat="0" applyFill="0" applyAlignment="0" applyProtection="0"/>
    <xf numFmtId="0" fontId="32" fillId="0" borderId="0" applyNumberFormat="0" applyFill="0" applyBorder="0" applyAlignment="0" applyProtection="0"/>
  </cellStyleXfs>
  <cellXfs count="159">
    <xf numFmtId="0" fontId="0" fillId="0" borderId="0" xfId="0"/>
    <xf numFmtId="164" fontId="0" fillId="0" borderId="0" xfId="0" applyNumberFormat="1"/>
    <xf numFmtId="0" fontId="1" fillId="2" borderId="1" xfId="1"/>
    <xf numFmtId="164" fontId="1" fillId="2" borderId="1" xfId="1" applyNumberFormat="1"/>
    <xf numFmtId="9" fontId="0" fillId="0" borderId="0" xfId="0" applyNumberFormat="1"/>
    <xf numFmtId="0" fontId="3" fillId="0" borderId="0" xfId="0" applyFont="1"/>
    <xf numFmtId="0" fontId="0" fillId="0" borderId="0" xfId="0" applyAlignment="1">
      <alignment wrapText="1"/>
    </xf>
    <xf numFmtId="0" fontId="5" fillId="0" borderId="0" xfId="0" applyFont="1"/>
    <xf numFmtId="0" fontId="11" fillId="0" borderId="0" xfId="0" applyFont="1"/>
    <xf numFmtId="0" fontId="5" fillId="5" borderId="0" xfId="0" applyFont="1" applyFill="1" applyProtection="1">
      <protection hidden="1"/>
    </xf>
    <xf numFmtId="10" fontId="5" fillId="0" borderId="0" xfId="0" applyNumberFormat="1" applyFont="1" applyProtection="1">
      <protection hidden="1"/>
    </xf>
    <xf numFmtId="0" fontId="5" fillId="0" borderId="0" xfId="0" applyFont="1" applyProtection="1">
      <protection hidden="1"/>
    </xf>
    <xf numFmtId="0" fontId="0" fillId="5" borderId="0" xfId="0" applyFill="1" applyProtection="1">
      <protection hidden="1"/>
    </xf>
    <xf numFmtId="10" fontId="0" fillId="0" borderId="0" xfId="0" applyNumberFormat="1" applyProtection="1">
      <protection hidden="1"/>
    </xf>
    <xf numFmtId="0" fontId="0" fillId="0" borderId="0" xfId="0" applyProtection="1">
      <protection hidden="1"/>
    </xf>
    <xf numFmtId="164" fontId="5" fillId="0" borderId="0" xfId="0" applyNumberFormat="1" applyFont="1" applyProtection="1">
      <protection hidden="1"/>
    </xf>
    <xf numFmtId="164" fontId="1" fillId="2" borderId="1" xfId="1" applyNumberFormat="1" applyProtection="1">
      <protection locked="0"/>
    </xf>
    <xf numFmtId="0" fontId="1" fillId="2" borderId="1" xfId="1" applyProtection="1">
      <protection locked="0"/>
    </xf>
    <xf numFmtId="0" fontId="0" fillId="0" borderId="12" xfId="0" applyBorder="1"/>
    <xf numFmtId="0" fontId="0" fillId="0" borderId="0" xfId="0" applyProtection="1">
      <protection locked="0"/>
    </xf>
    <xf numFmtId="9" fontId="0" fillId="0" borderId="0" xfId="0" applyNumberFormat="1" applyProtection="1">
      <protection locked="0"/>
    </xf>
    <xf numFmtId="0" fontId="4" fillId="0" borderId="0" xfId="0" applyFont="1" applyProtection="1">
      <protection locked="0"/>
    </xf>
    <xf numFmtId="167" fontId="12" fillId="2" borderId="6" xfId="1" applyNumberFormat="1" applyFont="1" applyBorder="1" applyProtection="1">
      <protection locked="0"/>
    </xf>
    <xf numFmtId="0" fontId="15" fillId="0" borderId="0" xfId="0" applyFont="1"/>
    <xf numFmtId="2" fontId="5" fillId="0" borderId="0" xfId="0" applyNumberFormat="1" applyFont="1" applyProtection="1">
      <protection hidden="1"/>
    </xf>
    <xf numFmtId="164" fontId="3" fillId="6" borderId="2" xfId="2" applyNumberFormat="1" applyFont="1" applyFill="1"/>
    <xf numFmtId="168" fontId="11" fillId="0" borderId="0" xfId="0" applyNumberFormat="1" applyFont="1"/>
    <xf numFmtId="1" fontId="0" fillId="0" borderId="0" xfId="0" applyNumberFormat="1"/>
    <xf numFmtId="1" fontId="3" fillId="6" borderId="2" xfId="2" applyNumberFormat="1" applyFont="1" applyFill="1"/>
    <xf numFmtId="169" fontId="12" fillId="2" borderId="6" xfId="1" applyNumberFormat="1" applyFont="1" applyBorder="1" applyProtection="1">
      <protection locked="0"/>
    </xf>
    <xf numFmtId="164" fontId="8" fillId="3" borderId="14" xfId="5" applyNumberFormat="1" applyBorder="1"/>
    <xf numFmtId="164" fontId="13" fillId="2" borderId="15" xfId="1" applyNumberFormat="1" applyFont="1" applyBorder="1" applyProtection="1">
      <protection locked="0"/>
    </xf>
    <xf numFmtId="164" fontId="13" fillId="2" borderId="16" xfId="1" applyNumberFormat="1" applyFont="1" applyBorder="1" applyProtection="1">
      <protection locked="0"/>
    </xf>
    <xf numFmtId="164" fontId="13" fillId="2" borderId="17" xfId="1" applyNumberFormat="1" applyFont="1" applyBorder="1" applyProtection="1">
      <protection locked="0"/>
    </xf>
    <xf numFmtId="0" fontId="0" fillId="0" borderId="18" xfId="0" applyBorder="1"/>
    <xf numFmtId="0" fontId="0" fillId="0" borderId="19" xfId="0" applyBorder="1"/>
    <xf numFmtId="167" fontId="12" fillId="2" borderId="20" xfId="1" applyNumberFormat="1" applyFont="1" applyBorder="1" applyProtection="1">
      <protection locked="0"/>
    </xf>
    <xf numFmtId="167" fontId="12" fillId="2" borderId="21" xfId="1" applyNumberFormat="1" applyFont="1" applyBorder="1" applyProtection="1">
      <protection locked="0"/>
    </xf>
    <xf numFmtId="167" fontId="12" fillId="2" borderId="22" xfId="1" applyNumberFormat="1" applyFont="1" applyBorder="1" applyProtection="1">
      <protection locked="0"/>
    </xf>
    <xf numFmtId="167" fontId="12" fillId="2" borderId="23" xfId="1" applyNumberFormat="1" applyFont="1" applyBorder="1" applyProtection="1">
      <protection locked="0"/>
    </xf>
    <xf numFmtId="167" fontId="12" fillId="2" borderId="24" xfId="1" applyNumberFormat="1" applyFont="1" applyBorder="1" applyProtection="1">
      <protection locked="0"/>
    </xf>
    <xf numFmtId="167" fontId="12" fillId="2" borderId="25" xfId="1" applyNumberFormat="1" applyFont="1" applyBorder="1" applyProtection="1">
      <protection locked="0"/>
    </xf>
    <xf numFmtId="164" fontId="13" fillId="2" borderId="26" xfId="1" applyNumberFormat="1" applyFont="1" applyBorder="1" applyProtection="1">
      <protection locked="0"/>
    </xf>
    <xf numFmtId="0" fontId="9" fillId="4" borderId="13" xfId="6" applyFont="1" applyBorder="1"/>
    <xf numFmtId="0" fontId="6" fillId="0" borderId="7" xfId="3"/>
    <xf numFmtId="0" fontId="1" fillId="2" borderId="1" xfId="1" applyProtection="1"/>
    <xf numFmtId="0" fontId="16" fillId="7" borderId="0" xfId="0" applyFont="1" applyFill="1"/>
    <xf numFmtId="0" fontId="0" fillId="7" borderId="0" xfId="0" applyFill="1"/>
    <xf numFmtId="0" fontId="0" fillId="7" borderId="11" xfId="0" applyFill="1" applyBorder="1"/>
    <xf numFmtId="0" fontId="6" fillId="7" borderId="7" xfId="3" applyFill="1"/>
    <xf numFmtId="0" fontId="0" fillId="7" borderId="10" xfId="0" applyFill="1" applyBorder="1"/>
    <xf numFmtId="0" fontId="3" fillId="7" borderId="0" xfId="0" applyFont="1" applyFill="1"/>
    <xf numFmtId="0" fontId="14" fillId="7" borderId="0" xfId="0" applyFont="1" applyFill="1"/>
    <xf numFmtId="169" fontId="12" fillId="7" borderId="0" xfId="1" applyNumberFormat="1" applyFont="1" applyFill="1" applyBorder="1" applyProtection="1">
      <protection locked="0"/>
    </xf>
    <xf numFmtId="0" fontId="5" fillId="7" borderId="0" xfId="0" applyFont="1" applyFill="1"/>
    <xf numFmtId="166" fontId="5" fillId="7" borderId="4" xfId="0" applyNumberFormat="1" applyFont="1" applyFill="1" applyBorder="1"/>
    <xf numFmtId="10" fontId="5" fillId="7" borderId="0" xfId="0" applyNumberFormat="1" applyFont="1" applyFill="1"/>
    <xf numFmtId="167" fontId="5" fillId="7" borderId="0" xfId="0" applyNumberFormat="1" applyFont="1" applyFill="1"/>
    <xf numFmtId="166" fontId="5" fillId="7" borderId="5" xfId="0" applyNumberFormat="1" applyFont="1" applyFill="1" applyBorder="1"/>
    <xf numFmtId="164" fontId="5" fillId="7" borderId="0" xfId="0" applyNumberFormat="1" applyFont="1" applyFill="1"/>
    <xf numFmtId="0" fontId="11" fillId="7" borderId="0" xfId="0" applyFont="1" applyFill="1"/>
    <xf numFmtId="164" fontId="0" fillId="7" borderId="0" xfId="0" applyNumberFormat="1" applyFill="1"/>
    <xf numFmtId="0" fontId="0" fillId="7" borderId="9" xfId="0" applyFill="1" applyBorder="1"/>
    <xf numFmtId="164" fontId="3" fillId="7" borderId="13" xfId="0" applyNumberFormat="1" applyFont="1" applyFill="1" applyBorder="1"/>
    <xf numFmtId="0" fontId="15" fillId="7" borderId="0" xfId="0" applyFont="1" applyFill="1"/>
    <xf numFmtId="164" fontId="3" fillId="7" borderId="0" xfId="0" applyNumberFormat="1" applyFont="1" applyFill="1"/>
    <xf numFmtId="1" fontId="3" fillId="7" borderId="0" xfId="0" applyNumberFormat="1" applyFont="1" applyFill="1"/>
    <xf numFmtId="165" fontId="0" fillId="7" borderId="0" xfId="0" applyNumberFormat="1" applyFill="1"/>
    <xf numFmtId="9" fontId="0" fillId="7" borderId="0" xfId="0" applyNumberFormat="1" applyFill="1"/>
    <xf numFmtId="168" fontId="0" fillId="7" borderId="0" xfId="0" applyNumberFormat="1" applyFill="1"/>
    <xf numFmtId="164" fontId="11" fillId="7" borderId="0" xfId="0" applyNumberFormat="1" applyFont="1" applyFill="1"/>
    <xf numFmtId="0" fontId="20" fillId="7" borderId="0" xfId="0" applyFont="1" applyFill="1"/>
    <xf numFmtId="0" fontId="19" fillId="7" borderId="0" xfId="0" applyFont="1" applyFill="1"/>
    <xf numFmtId="0" fontId="21" fillId="7" borderId="0" xfId="0" applyFont="1" applyFill="1"/>
    <xf numFmtId="0" fontId="22" fillId="7" borderId="0" xfId="0" applyFont="1" applyFill="1"/>
    <xf numFmtId="0" fontId="0" fillId="7" borderId="12" xfId="0" applyFill="1" applyBorder="1"/>
    <xf numFmtId="0" fontId="19" fillId="0" borderId="9" xfId="0" applyFont="1" applyBorder="1" applyAlignment="1">
      <alignment horizontal="right"/>
    </xf>
    <xf numFmtId="166" fontId="5" fillId="7" borderId="3" xfId="0" applyNumberFormat="1" applyFont="1" applyFill="1" applyBorder="1"/>
    <xf numFmtId="0" fontId="3" fillId="7" borderId="11" xfId="0" applyFont="1" applyFill="1" applyBorder="1"/>
    <xf numFmtId="0" fontId="14" fillId="7" borderId="11" xfId="0" applyFont="1" applyFill="1" applyBorder="1"/>
    <xf numFmtId="167" fontId="0" fillId="7" borderId="0" xfId="0" applyNumberFormat="1" applyFill="1"/>
    <xf numFmtId="0" fontId="0" fillId="7" borderId="0" xfId="0" applyFill="1" applyAlignment="1">
      <alignment horizontal="right"/>
    </xf>
    <xf numFmtId="9" fontId="2" fillId="3" borderId="2" xfId="2" applyNumberFormat="1"/>
    <xf numFmtId="9" fontId="1" fillId="2" borderId="1" xfId="1" applyNumberFormat="1" applyProtection="1">
      <protection locked="0"/>
    </xf>
    <xf numFmtId="165" fontId="2" fillId="3" borderId="2" xfId="2" applyNumberFormat="1"/>
    <xf numFmtId="9" fontId="2" fillId="7" borderId="2" xfId="2" applyNumberFormat="1" applyFill="1"/>
    <xf numFmtId="0" fontId="11" fillId="0" borderId="0" xfId="0" applyFont="1" applyProtection="1">
      <protection hidden="1"/>
    </xf>
    <xf numFmtId="0" fontId="11" fillId="7" borderId="0" xfId="0" applyFont="1" applyFill="1" applyProtection="1">
      <protection hidden="1"/>
    </xf>
    <xf numFmtId="0" fontId="20" fillId="0" borderId="0" xfId="0" applyFont="1"/>
    <xf numFmtId="0" fontId="24" fillId="7" borderId="0" xfId="0" applyFont="1" applyFill="1"/>
    <xf numFmtId="0" fontId="19" fillId="0" borderId="27" xfId="0" applyFont="1" applyBorder="1" applyAlignment="1">
      <alignment horizontal="left"/>
    </xf>
    <xf numFmtId="2" fontId="20" fillId="7" borderId="0" xfId="0" applyNumberFormat="1" applyFont="1" applyFill="1" applyAlignment="1">
      <alignment horizontal="right"/>
    </xf>
    <xf numFmtId="2" fontId="20" fillId="7" borderId="0" xfId="0" applyNumberFormat="1" applyFont="1" applyFill="1"/>
    <xf numFmtId="170" fontId="0" fillId="0" borderId="0" xfId="0" applyNumberFormat="1"/>
    <xf numFmtId="0" fontId="0" fillId="0" borderId="0" xfId="0" applyAlignment="1">
      <alignment horizontal="right"/>
    </xf>
    <xf numFmtId="0" fontId="25" fillId="0" borderId="0" xfId="0" applyFont="1" applyAlignment="1">
      <alignment horizontal="left" vertical="center" readingOrder="1"/>
    </xf>
    <xf numFmtId="3" fontId="0" fillId="0" borderId="0" xfId="0" applyNumberFormat="1"/>
    <xf numFmtId="0" fontId="7" fillId="7" borderId="8" xfId="4" applyFill="1"/>
    <xf numFmtId="0" fontId="7" fillId="0" borderId="8" xfId="4"/>
    <xf numFmtId="170" fontId="1" fillId="2" borderId="1" xfId="1" applyNumberFormat="1" applyProtection="1">
      <protection locked="0"/>
    </xf>
    <xf numFmtId="1" fontId="1" fillId="2" borderId="1" xfId="1" applyNumberFormat="1" applyProtection="1">
      <protection locked="0"/>
    </xf>
    <xf numFmtId="171" fontId="1" fillId="2" borderId="1" xfId="1" applyNumberFormat="1" applyProtection="1">
      <protection locked="0"/>
    </xf>
    <xf numFmtId="0" fontId="0" fillId="0" borderId="11" xfId="0" applyBorder="1"/>
    <xf numFmtId="172" fontId="0" fillId="0" borderId="0" xfId="0" applyNumberFormat="1"/>
    <xf numFmtId="2" fontId="0" fillId="0" borderId="0" xfId="0" applyNumberFormat="1"/>
    <xf numFmtId="0" fontId="26" fillId="0" borderId="0" xfId="0" applyFont="1"/>
    <xf numFmtId="172" fontId="1" fillId="2" borderId="1" xfId="1" applyNumberFormat="1"/>
    <xf numFmtId="0" fontId="0" fillId="5" borderId="0" xfId="0" applyFill="1"/>
    <xf numFmtId="165" fontId="0" fillId="0" borderId="0" xfId="0" applyNumberFormat="1"/>
    <xf numFmtId="173" fontId="0" fillId="0" borderId="0" xfId="0" applyNumberFormat="1"/>
    <xf numFmtId="0" fontId="24" fillId="0" borderId="0" xfId="0" applyFont="1"/>
    <xf numFmtId="0" fontId="0" fillId="0" borderId="0" xfId="0" quotePrefix="1"/>
    <xf numFmtId="2" fontId="1" fillId="2" borderId="1" xfId="1" applyNumberFormat="1" applyProtection="1">
      <protection locked="0"/>
    </xf>
    <xf numFmtId="172" fontId="2" fillId="3" borderId="2" xfId="2" applyNumberFormat="1"/>
    <xf numFmtId="44" fontId="0" fillId="0" borderId="0" xfId="0" applyNumberFormat="1"/>
    <xf numFmtId="0" fontId="27" fillId="0" borderId="28" xfId="7"/>
    <xf numFmtId="10" fontId="1" fillId="2" borderId="1" xfId="1" applyNumberFormat="1" applyProtection="1">
      <protection locked="0"/>
    </xf>
    <xf numFmtId="10" fontId="0" fillId="0" borderId="0" xfId="0" applyNumberFormat="1"/>
    <xf numFmtId="172" fontId="5" fillId="0" borderId="0" xfId="0" applyNumberFormat="1" applyFont="1"/>
    <xf numFmtId="165" fontId="1" fillId="2" borderId="1" xfId="1" applyNumberFormat="1" applyProtection="1">
      <protection locked="0"/>
    </xf>
    <xf numFmtId="174" fontId="0" fillId="0" borderId="0" xfId="0" applyNumberFormat="1"/>
    <xf numFmtId="173" fontId="0" fillId="0" borderId="29" xfId="0" applyNumberFormat="1" applyBorder="1"/>
    <xf numFmtId="0" fontId="0" fillId="0" borderId="30" xfId="0" applyBorder="1"/>
    <xf numFmtId="0" fontId="0" fillId="0" borderId="31" xfId="0" applyBorder="1"/>
    <xf numFmtId="173" fontId="0" fillId="0" borderId="32" xfId="0" applyNumberFormat="1" applyBorder="1"/>
    <xf numFmtId="165" fontId="5" fillId="5" borderId="0" xfId="0" applyNumberFormat="1" applyFont="1" applyFill="1"/>
    <xf numFmtId="0" fontId="0" fillId="0" borderId="33" xfId="0" applyBorder="1"/>
    <xf numFmtId="0" fontId="0" fillId="0" borderId="32" xfId="0" applyBorder="1"/>
    <xf numFmtId="1" fontId="0" fillId="0" borderId="34" xfId="0" applyNumberFormat="1" applyBorder="1"/>
    <xf numFmtId="1" fontId="0" fillId="0" borderId="35" xfId="0" applyNumberFormat="1" applyBorder="1"/>
    <xf numFmtId="0" fontId="0" fillId="0" borderId="35" xfId="0" applyBorder="1"/>
    <xf numFmtId="165" fontId="0" fillId="0" borderId="35" xfId="0" applyNumberFormat="1" applyBorder="1"/>
    <xf numFmtId="165" fontId="0" fillId="0" borderId="36" xfId="0" applyNumberFormat="1" applyBorder="1"/>
    <xf numFmtId="0" fontId="3" fillId="0" borderId="32" xfId="0" applyFont="1" applyBorder="1"/>
    <xf numFmtId="0" fontId="3" fillId="0" borderId="0" xfId="0" quotePrefix="1" applyFont="1"/>
    <xf numFmtId="0" fontId="3" fillId="0" borderId="33" xfId="0" applyFont="1" applyBorder="1"/>
    <xf numFmtId="0" fontId="28" fillId="5" borderId="30" xfId="0" applyFont="1" applyFill="1" applyBorder="1"/>
    <xf numFmtId="0" fontId="0" fillId="8" borderId="0" xfId="0" applyFill="1"/>
    <xf numFmtId="165" fontId="0" fillId="8" borderId="0" xfId="0" applyNumberFormat="1" applyFill="1"/>
    <xf numFmtId="2" fontId="0" fillId="8" borderId="0" xfId="0" applyNumberFormat="1" applyFill="1"/>
    <xf numFmtId="170" fontId="0" fillId="8" borderId="0" xfId="0" applyNumberFormat="1" applyFill="1"/>
    <xf numFmtId="1" fontId="2" fillId="3" borderId="2" xfId="2" applyNumberFormat="1"/>
    <xf numFmtId="0" fontId="2" fillId="3" borderId="2" xfId="2"/>
    <xf numFmtId="165" fontId="11" fillId="7" borderId="0" xfId="0" applyNumberFormat="1" applyFont="1" applyFill="1"/>
    <xf numFmtId="0" fontId="29" fillId="7" borderId="0" xfId="0" applyFont="1" applyFill="1"/>
    <xf numFmtId="0" fontId="31" fillId="0" borderId="0" xfId="0" applyFont="1"/>
    <xf numFmtId="0" fontId="32" fillId="0" borderId="0" xfId="8"/>
    <xf numFmtId="0" fontId="33" fillId="0" borderId="0" xfId="0" applyFont="1"/>
    <xf numFmtId="0" fontId="32" fillId="0" borderId="0" xfId="8" applyAlignment="1">
      <alignment vertical="center"/>
    </xf>
    <xf numFmtId="0" fontId="0" fillId="0" borderId="0" xfId="0" applyFill="1"/>
    <xf numFmtId="0" fontId="3" fillId="8" borderId="0" xfId="0" applyFont="1" applyFill="1"/>
    <xf numFmtId="0" fontId="32" fillId="8" borderId="0" xfId="8" applyFill="1"/>
    <xf numFmtId="0" fontId="35" fillId="9" borderId="0" xfId="0" applyFont="1" applyFill="1" applyAlignment="1">
      <alignment horizontal="center" vertical="center" wrapText="1"/>
    </xf>
    <xf numFmtId="0" fontId="10" fillId="9" borderId="0" xfId="0" applyFont="1" applyFill="1" applyAlignment="1">
      <alignment horizontal="center" vertical="center" wrapText="1"/>
    </xf>
    <xf numFmtId="0" fontId="36" fillId="9" borderId="0" xfId="0" applyFont="1" applyFill="1" applyAlignment="1">
      <alignment horizontal="center" vertical="center" wrapText="1"/>
    </xf>
    <xf numFmtId="0" fontId="34" fillId="10" borderId="0" xfId="0" applyFont="1" applyFill="1" applyAlignment="1">
      <alignment horizontal="center" vertical="center" wrapText="1"/>
    </xf>
    <xf numFmtId="0" fontId="3" fillId="0" borderId="0" xfId="0" applyFont="1" applyFill="1"/>
    <xf numFmtId="0" fontId="32" fillId="0" borderId="0" xfId="8" applyFill="1"/>
    <xf numFmtId="0" fontId="0" fillId="11" borderId="0" xfId="0" applyFill="1"/>
  </cellXfs>
  <cellStyles count="9">
    <cellStyle name="Aksentti2" xfId="6" builtinId="33"/>
    <cellStyle name="Hyperlinkki" xfId="8" builtinId="8"/>
    <cellStyle name="Laskenta" xfId="5" builtinId="22"/>
    <cellStyle name="Normaali" xfId="0" builtinId="0"/>
    <cellStyle name="Otsikko 1" xfId="7" builtinId="16"/>
    <cellStyle name="Otsikko 2" xfId="3" builtinId="17"/>
    <cellStyle name="Otsikko 3" xfId="4" builtinId="18"/>
    <cellStyle name="Syöttö" xfId="1" builtinId="20"/>
    <cellStyle name="Tulostus" xfId="2" builtinId="21"/>
  </cellStyles>
  <dxfs count="4">
    <dxf>
      <font>
        <color rgb="FFFF0000"/>
      </font>
      <fill>
        <patternFill>
          <bgColor rgb="FFFFCCCC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rgb="FFFFCCCC"/>
        </patternFill>
      </fill>
    </dxf>
    <dxf>
      <font>
        <color theme="9" tint="-0.24994659260841701"/>
      </font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00A2C8"/>
      <color rgb="FFFFCC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390525</xdr:colOff>
      <xdr:row>27</xdr:row>
      <xdr:rowOff>92075</xdr:rowOff>
    </xdr:from>
    <xdr:to>
      <xdr:col>10</xdr:col>
      <xdr:colOff>417299</xdr:colOff>
      <xdr:row>32</xdr:row>
      <xdr:rowOff>104774</xdr:rowOff>
    </xdr:to>
    <xdr:pic>
      <xdr:nvPicPr>
        <xdr:cNvPr id="5" name="Kuva 4">
          <a:extLst>
            <a:ext uri="{FF2B5EF4-FFF2-40B4-BE49-F238E27FC236}">
              <a16:creationId xmlns:a16="http://schemas.microsoft.com/office/drawing/2014/main" id="{3723DF49-2305-5D2A-0556-08A94F003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648325" y="5749925"/>
          <a:ext cx="1341224" cy="10604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32</xdr:row>
      <xdr:rowOff>22412</xdr:rowOff>
    </xdr:from>
    <xdr:to>
      <xdr:col>5</xdr:col>
      <xdr:colOff>661147</xdr:colOff>
      <xdr:row>33</xdr:row>
      <xdr:rowOff>171450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5580E2D0-4C63-5251-6199-0A2C953608F2}"/>
            </a:ext>
          </a:extLst>
        </xdr:cNvPr>
        <xdr:cNvCxnSpPr/>
      </xdr:nvCxnSpPr>
      <xdr:spPr>
        <a:xfrm flipH="1">
          <a:off x="3040716" y="5277971"/>
          <a:ext cx="1688166" cy="32833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238125</xdr:colOff>
      <xdr:row>31</xdr:row>
      <xdr:rowOff>156882</xdr:rowOff>
    </xdr:from>
    <xdr:to>
      <xdr:col>5</xdr:col>
      <xdr:colOff>649941</xdr:colOff>
      <xdr:row>34</xdr:row>
      <xdr:rowOff>114300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B813733D-FB6E-B1A0-DC79-514ED893A12D}"/>
            </a:ext>
          </a:extLst>
        </xdr:cNvPr>
        <xdr:cNvCxnSpPr/>
      </xdr:nvCxnSpPr>
      <xdr:spPr>
        <a:xfrm flipH="1">
          <a:off x="1560419" y="5233147"/>
          <a:ext cx="3157257" cy="5401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19</xdr:col>
      <xdr:colOff>47998</xdr:colOff>
      <xdr:row>1</xdr:row>
      <xdr:rowOff>19236</xdr:rowOff>
    </xdr:from>
    <xdr:to>
      <xdr:col>27</xdr:col>
      <xdr:colOff>468093</xdr:colOff>
      <xdr:row>18</xdr:row>
      <xdr:rowOff>142098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DFCFF552-1315-4205-3FFD-42F93064B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70586" y="220942"/>
          <a:ext cx="5712447" cy="37983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6350</xdr:colOff>
      <xdr:row>1</xdr:row>
      <xdr:rowOff>28575</xdr:rowOff>
    </xdr:from>
    <xdr:to>
      <xdr:col>26</xdr:col>
      <xdr:colOff>590550</xdr:colOff>
      <xdr:row>28</xdr:row>
      <xdr:rowOff>105220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B8FAA0-9C5B-A76B-4C28-DF518C669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22025" y="209550"/>
          <a:ext cx="7156450" cy="5848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ema1">
  <a:themeElements>
    <a:clrScheme name="Luke_2024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FF8200"/>
      </a:accent1>
      <a:accent2>
        <a:srgbClr val="004151"/>
      </a:accent2>
      <a:accent3>
        <a:srgbClr val="78BE20"/>
      </a:accent3>
      <a:accent4>
        <a:srgbClr val="00B5E2"/>
      </a:accent4>
      <a:accent5>
        <a:srgbClr val="00442B"/>
      </a:accent5>
      <a:accent6>
        <a:srgbClr val="545859"/>
      </a:accent6>
      <a:hlink>
        <a:srgbClr val="0033A0"/>
      </a:hlink>
      <a:folHlink>
        <a:srgbClr val="000000"/>
      </a:folHlink>
    </a:clrScheme>
    <a:fontScheme name="Luke office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/>
      </a:spPr>
      <a:bodyPr rtlCol="0" anchor="ctr"/>
      <a:lstStyle>
        <a:defPPr algn="ctr">
          <a:defRPr/>
        </a:defPPr>
      </a:lstStyle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Luke_2024" id="{8DB5DADC-E193-4534-8051-326BB5CCB9D1}" vid="{EA9DBDCD-073C-4D44-9B4C-4CA832793DB2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iika.tapio@luke.fi" TargetMode="External"/><Relationship Id="rId1" Type="http://schemas.openxmlformats.org/officeDocument/2006/relationships/hyperlink" Target="https://doi.org/10.1016/j.wasman.2018.10.022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doi.org/10.3920/JIFF2022.0102" TargetMode="External"/><Relationship Id="rId1" Type="http://schemas.openxmlformats.org/officeDocument/2006/relationships/hyperlink" Target="https://doi.org/10.3920/JIFF2022.0096" TargetMode="External"/><Relationship Id="rId6" Type="http://schemas.openxmlformats.org/officeDocument/2006/relationships/comments" Target="../comments2.xml"/><Relationship Id="rId5" Type="http://schemas.openxmlformats.org/officeDocument/2006/relationships/vmlDrawing" Target="../drawings/vmlDrawing2.vm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04CB6-E55B-43DA-B300-BED89959B5E5}">
  <dimension ref="A1:K34"/>
  <sheetViews>
    <sheetView tabSelected="1" workbookViewId="0">
      <selection activeCell="P36" sqref="P36"/>
    </sheetView>
  </sheetViews>
  <sheetFormatPr defaultRowHeight="16.5" x14ac:dyDescent="0.45"/>
  <sheetData>
    <row r="1" spans="1:11" x14ac:dyDescent="0.45">
      <c r="A1" s="152" t="s">
        <v>398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</row>
    <row r="2" spans="1:11" x14ac:dyDescent="0.45">
      <c r="A2" s="153"/>
      <c r="B2" s="153"/>
      <c r="C2" s="153"/>
      <c r="D2" s="153"/>
      <c r="E2" s="153"/>
      <c r="F2" s="153"/>
      <c r="G2" s="153"/>
      <c r="H2" s="153"/>
      <c r="I2" s="153"/>
      <c r="J2" s="153"/>
      <c r="K2" s="153"/>
    </row>
    <row r="3" spans="1:11" x14ac:dyDescent="0.45">
      <c r="A3" s="153"/>
      <c r="B3" s="153"/>
      <c r="C3" s="153"/>
      <c r="D3" s="153"/>
      <c r="E3" s="153"/>
      <c r="F3" s="153"/>
      <c r="G3" s="153"/>
      <c r="H3" s="153"/>
      <c r="I3" s="153"/>
      <c r="J3" s="153"/>
      <c r="K3" s="153"/>
    </row>
    <row r="4" spans="1:11" x14ac:dyDescent="0.45">
      <c r="A4" s="153"/>
      <c r="B4" s="153"/>
      <c r="C4" s="153"/>
      <c r="D4" s="153"/>
      <c r="E4" s="153"/>
      <c r="F4" s="153"/>
      <c r="G4" s="153"/>
      <c r="H4" s="153"/>
      <c r="I4" s="153"/>
      <c r="J4" s="153"/>
      <c r="K4" s="153"/>
    </row>
    <row r="5" spans="1:11" x14ac:dyDescent="0.45">
      <c r="A5" s="153"/>
      <c r="B5" s="153"/>
      <c r="C5" s="153"/>
      <c r="D5" s="153"/>
      <c r="E5" s="153"/>
      <c r="F5" s="153"/>
      <c r="G5" s="153"/>
      <c r="H5" s="153"/>
      <c r="I5" s="153"/>
      <c r="J5" s="153"/>
      <c r="K5" s="153"/>
    </row>
    <row r="6" spans="1:11" x14ac:dyDescent="0.45">
      <c r="A6" s="153"/>
      <c r="B6" s="153"/>
      <c r="C6" s="153"/>
      <c r="D6" s="153"/>
      <c r="E6" s="153"/>
      <c r="F6" s="153"/>
      <c r="G6" s="153"/>
      <c r="H6" s="153"/>
      <c r="I6" s="153"/>
      <c r="J6" s="153"/>
      <c r="K6" s="153"/>
    </row>
    <row r="7" spans="1:11" x14ac:dyDescent="0.45">
      <c r="A7" s="153"/>
      <c r="B7" s="153"/>
      <c r="C7" s="153"/>
      <c r="D7" s="153"/>
      <c r="E7" s="153"/>
      <c r="F7" s="153"/>
      <c r="G7" s="153"/>
      <c r="H7" s="153"/>
      <c r="I7" s="153"/>
      <c r="J7" s="153"/>
      <c r="K7" s="153"/>
    </row>
    <row r="8" spans="1:11" x14ac:dyDescent="0.45">
      <c r="A8" s="153"/>
      <c r="B8" s="153"/>
      <c r="C8" s="153"/>
      <c r="D8" s="153"/>
      <c r="E8" s="153"/>
      <c r="F8" s="153"/>
      <c r="G8" s="153"/>
      <c r="H8" s="153"/>
      <c r="I8" s="153"/>
      <c r="J8" s="153"/>
      <c r="K8" s="153"/>
    </row>
    <row r="9" spans="1:11" x14ac:dyDescent="0.45">
      <c r="A9" s="154" t="s">
        <v>399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</row>
    <row r="10" spans="1:11" x14ac:dyDescent="0.45">
      <c r="A10" s="153"/>
      <c r="B10" s="153"/>
      <c r="C10" s="153"/>
      <c r="D10" s="153"/>
      <c r="E10" s="153"/>
      <c r="F10" s="153"/>
      <c r="G10" s="153"/>
      <c r="H10" s="153"/>
      <c r="I10" s="153"/>
      <c r="J10" s="153"/>
      <c r="K10" s="153"/>
    </row>
    <row r="11" spans="1:11" x14ac:dyDescent="0.45">
      <c r="A11" s="153"/>
      <c r="B11" s="153"/>
      <c r="C11" s="153"/>
      <c r="D11" s="153"/>
      <c r="E11" s="153"/>
      <c r="F11" s="153"/>
      <c r="G11" s="153"/>
      <c r="H11" s="153"/>
      <c r="I11" s="153"/>
      <c r="J11" s="153"/>
      <c r="K11" s="153"/>
    </row>
    <row r="12" spans="1:11" x14ac:dyDescent="0.45">
      <c r="A12" s="153"/>
      <c r="B12" s="153"/>
      <c r="C12" s="153"/>
      <c r="D12" s="153"/>
      <c r="E12" s="153"/>
      <c r="F12" s="153"/>
      <c r="G12" s="153"/>
      <c r="H12" s="153"/>
      <c r="I12" s="153"/>
      <c r="J12" s="153"/>
      <c r="K12" s="153"/>
    </row>
    <row r="13" spans="1:11" x14ac:dyDescent="0.45">
      <c r="A13" s="153"/>
      <c r="B13" s="153"/>
      <c r="C13" s="153"/>
      <c r="D13" s="153"/>
      <c r="E13" s="153"/>
      <c r="F13" s="153"/>
      <c r="G13" s="153"/>
      <c r="H13" s="153"/>
      <c r="I13" s="153"/>
      <c r="J13" s="153"/>
      <c r="K13" s="153"/>
    </row>
    <row r="14" spans="1:11" x14ac:dyDescent="0.45">
      <c r="A14" s="153"/>
      <c r="B14" s="153"/>
      <c r="C14" s="153"/>
      <c r="D14" s="153"/>
      <c r="E14" s="153"/>
      <c r="F14" s="153"/>
      <c r="G14" s="153"/>
      <c r="H14" s="153"/>
      <c r="I14" s="153"/>
      <c r="J14" s="153"/>
      <c r="K14" s="153"/>
    </row>
    <row r="15" spans="1:11" x14ac:dyDescent="0.45">
      <c r="A15" s="155" t="s">
        <v>400</v>
      </c>
      <c r="B15" s="155"/>
      <c r="C15" s="155"/>
      <c r="D15" s="155"/>
      <c r="E15" s="155"/>
      <c r="F15" s="155"/>
      <c r="G15" s="155"/>
      <c r="H15" s="155"/>
      <c r="I15" s="155"/>
      <c r="J15" s="155"/>
      <c r="K15" s="155"/>
    </row>
    <row r="16" spans="1:11" x14ac:dyDescent="0.45">
      <c r="A16" s="155"/>
      <c r="B16" s="155"/>
      <c r="C16" s="155"/>
      <c r="D16" s="155"/>
      <c r="E16" s="155"/>
      <c r="F16" s="155"/>
      <c r="G16" s="155"/>
      <c r="H16" s="155"/>
      <c r="I16" s="155"/>
      <c r="J16" s="155"/>
      <c r="K16" s="155"/>
    </row>
    <row r="17" spans="1:11" x14ac:dyDescent="0.45">
      <c r="A17" s="155"/>
      <c r="B17" s="155"/>
      <c r="C17" s="155"/>
      <c r="D17" s="155"/>
      <c r="E17" s="155"/>
      <c r="F17" s="155"/>
      <c r="G17" s="155"/>
      <c r="H17" s="155"/>
      <c r="I17" s="155"/>
      <c r="J17" s="155"/>
      <c r="K17" s="155"/>
    </row>
    <row r="18" spans="1:11" x14ac:dyDescent="0.45">
      <c r="A18" s="155"/>
      <c r="B18" s="155"/>
      <c r="C18" s="155"/>
      <c r="D18" s="155"/>
      <c r="E18" s="155"/>
      <c r="F18" s="155"/>
      <c r="G18" s="155"/>
      <c r="H18" s="155"/>
      <c r="I18" s="155"/>
      <c r="J18" s="155"/>
      <c r="K18" s="155"/>
    </row>
    <row r="19" spans="1:11" x14ac:dyDescent="0.45">
      <c r="A19" s="155"/>
      <c r="B19" s="155"/>
      <c r="C19" s="155"/>
      <c r="D19" s="155"/>
      <c r="E19" s="155"/>
      <c r="F19" s="155"/>
      <c r="G19" s="155"/>
      <c r="H19" s="155"/>
      <c r="I19" s="155"/>
      <c r="J19" s="155"/>
      <c r="K19" s="155"/>
    </row>
    <row r="20" spans="1:11" x14ac:dyDescent="0.45">
      <c r="A20" s="155"/>
      <c r="B20" s="155"/>
      <c r="C20" s="155"/>
      <c r="D20" s="155"/>
      <c r="E20" s="155"/>
      <c r="F20" s="155"/>
      <c r="G20" s="155"/>
      <c r="H20" s="155"/>
      <c r="I20" s="155"/>
      <c r="J20" s="155"/>
      <c r="K20" s="155"/>
    </row>
    <row r="21" spans="1:11" x14ac:dyDescent="0.45">
      <c r="A21" s="155"/>
      <c r="B21" s="155"/>
      <c r="C21" s="155"/>
      <c r="D21" s="155"/>
      <c r="E21" s="155"/>
      <c r="F21" s="155"/>
      <c r="G21" s="155"/>
      <c r="H21" s="155"/>
      <c r="I21" s="155"/>
      <c r="J21" s="155"/>
      <c r="K21" s="155"/>
    </row>
    <row r="22" spans="1:11" x14ac:dyDescent="0.45">
      <c r="A22" s="155"/>
      <c r="B22" s="155"/>
      <c r="C22" s="155"/>
      <c r="D22" s="155"/>
      <c r="E22" s="155"/>
      <c r="F22" s="155"/>
      <c r="G22" s="155"/>
      <c r="H22" s="155"/>
      <c r="I22" s="155"/>
      <c r="J22" s="155"/>
      <c r="K22" s="155"/>
    </row>
    <row r="23" spans="1:11" x14ac:dyDescent="0.45">
      <c r="A23" s="155"/>
      <c r="B23" s="155"/>
      <c r="C23" s="155"/>
      <c r="D23" s="155"/>
      <c r="E23" s="155"/>
      <c r="F23" s="155"/>
      <c r="G23" s="155"/>
      <c r="H23" s="155"/>
      <c r="I23" s="155"/>
      <c r="J23" s="155"/>
      <c r="K23" s="155"/>
    </row>
    <row r="24" spans="1:11" x14ac:dyDescent="0.45">
      <c r="A24" s="155"/>
      <c r="B24" s="155"/>
      <c r="C24" s="155"/>
      <c r="D24" s="155"/>
      <c r="E24" s="155"/>
      <c r="F24" s="155"/>
      <c r="G24" s="155"/>
      <c r="H24" s="155"/>
      <c r="I24" s="155"/>
      <c r="J24" s="155"/>
      <c r="K24" s="155"/>
    </row>
    <row r="25" spans="1:11" x14ac:dyDescent="0.45">
      <c r="A25" s="155"/>
      <c r="B25" s="155"/>
      <c r="C25" s="155"/>
      <c r="D25" s="155"/>
      <c r="E25" s="155"/>
      <c r="F25" s="155"/>
      <c r="G25" s="155"/>
      <c r="H25" s="155"/>
      <c r="I25" s="155"/>
      <c r="J25" s="155"/>
      <c r="K25" s="155"/>
    </row>
    <row r="26" spans="1:11" x14ac:dyDescent="0.45">
      <c r="A26" s="155"/>
      <c r="B26" s="155"/>
      <c r="C26" s="155"/>
      <c r="D26" s="155"/>
      <c r="E26" s="155"/>
      <c r="F26" s="155"/>
      <c r="G26" s="155"/>
      <c r="H26" s="155"/>
      <c r="I26" s="155"/>
      <c r="J26" s="155"/>
      <c r="K26" s="155"/>
    </row>
    <row r="27" spans="1:11" x14ac:dyDescent="0.45">
      <c r="A27" s="155"/>
      <c r="B27" s="155"/>
      <c r="C27" s="155"/>
      <c r="D27" s="155"/>
      <c r="E27" s="155"/>
      <c r="F27" s="155"/>
      <c r="G27" s="155"/>
      <c r="H27" s="155"/>
      <c r="I27" s="155"/>
      <c r="J27" s="155"/>
      <c r="K27" s="155"/>
    </row>
    <row r="28" spans="1:11" x14ac:dyDescent="0.45">
      <c r="A28" s="155"/>
      <c r="B28" s="155"/>
      <c r="C28" s="155"/>
      <c r="D28" s="155"/>
      <c r="E28" s="155"/>
      <c r="F28" s="155"/>
      <c r="G28" s="155"/>
      <c r="H28" s="155"/>
      <c r="I28" s="155"/>
      <c r="J28" s="155"/>
      <c r="K28" s="155"/>
    </row>
    <row r="29" spans="1:11" x14ac:dyDescent="0.45">
      <c r="A29" s="155"/>
      <c r="B29" s="155"/>
      <c r="C29" s="155"/>
      <c r="D29" s="155"/>
      <c r="E29" s="155"/>
      <c r="F29" s="155"/>
      <c r="G29" s="155"/>
      <c r="H29" s="155"/>
      <c r="I29" s="155"/>
      <c r="J29" s="155"/>
      <c r="K29" s="155"/>
    </row>
    <row r="30" spans="1:11" x14ac:dyDescent="0.45">
      <c r="A30" s="155"/>
      <c r="B30" s="155"/>
      <c r="C30" s="155"/>
      <c r="D30" s="155"/>
      <c r="E30" s="155"/>
      <c r="F30" s="155"/>
      <c r="G30" s="155"/>
      <c r="H30" s="155"/>
      <c r="I30" s="155"/>
      <c r="J30" s="155"/>
      <c r="K30" s="155"/>
    </row>
    <row r="31" spans="1:11" x14ac:dyDescent="0.45">
      <c r="A31" s="155"/>
      <c r="B31" s="155"/>
      <c r="C31" s="155"/>
      <c r="D31" s="155"/>
      <c r="E31" s="155"/>
      <c r="F31" s="155"/>
      <c r="G31" s="155"/>
      <c r="H31" s="155"/>
      <c r="I31" s="155"/>
      <c r="J31" s="155"/>
      <c r="K31" s="155"/>
    </row>
    <row r="32" spans="1:11" x14ac:dyDescent="0.45">
      <c r="A32" s="155"/>
      <c r="B32" s="155"/>
      <c r="C32" s="155"/>
      <c r="D32" s="155"/>
      <c r="E32" s="155"/>
      <c r="F32" s="155"/>
      <c r="G32" s="155"/>
      <c r="H32" s="155"/>
      <c r="I32" s="155"/>
      <c r="J32" s="155"/>
      <c r="K32" s="155"/>
    </row>
    <row r="33" spans="1:11" x14ac:dyDescent="0.45">
      <c r="A33" s="155"/>
      <c r="B33" s="155"/>
      <c r="C33" s="155"/>
      <c r="D33" s="155"/>
      <c r="E33" s="155"/>
      <c r="F33" s="155"/>
      <c r="G33" s="155"/>
      <c r="H33" s="155"/>
      <c r="I33" s="155"/>
      <c r="J33" s="155"/>
      <c r="K33" s="155"/>
    </row>
    <row r="34" spans="1:11" x14ac:dyDescent="0.45">
      <c r="A34" s="155"/>
      <c r="B34" s="155"/>
      <c r="C34" s="155"/>
      <c r="D34" s="155"/>
      <c r="E34" s="155"/>
      <c r="F34" s="155"/>
      <c r="G34" s="155"/>
      <c r="H34" s="155"/>
      <c r="I34" s="155"/>
      <c r="J34" s="155"/>
      <c r="K34" s="155"/>
    </row>
  </sheetData>
  <mergeCells count="3">
    <mergeCell ref="A1:K8"/>
    <mergeCell ref="A9:K14"/>
    <mergeCell ref="A15:K3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3C36A-7150-4550-8C33-0DAAB910AB7D}">
  <dimension ref="A1:V102"/>
  <sheetViews>
    <sheetView zoomScale="85" zoomScaleNormal="85" workbookViewId="0">
      <selection activeCell="E14" sqref="E14"/>
    </sheetView>
  </sheetViews>
  <sheetFormatPr defaultRowHeight="16.5" x14ac:dyDescent="0.45"/>
  <cols>
    <col min="2" max="2" width="10.25" customWidth="1"/>
    <col min="3" max="3" width="16" customWidth="1"/>
    <col min="4" max="4" width="14.4140625" customWidth="1"/>
    <col min="5" max="5" width="16.1640625" customWidth="1"/>
    <col min="6" max="6" width="9.9140625" customWidth="1"/>
    <col min="8" max="8" width="11.75" customWidth="1"/>
    <col min="9" max="9" width="15.5" customWidth="1"/>
    <col min="10" max="10" width="19.1640625" customWidth="1"/>
    <col min="11" max="11" width="19.6640625" customWidth="1"/>
    <col min="12" max="12" width="18.1640625" customWidth="1"/>
    <col min="13" max="14" width="19.6640625" customWidth="1"/>
    <col min="15" max="15" width="19.25" customWidth="1"/>
  </cols>
  <sheetData>
    <row r="1" spans="1:22" x14ac:dyDescent="0.45">
      <c r="A1" s="89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95" t="s">
        <v>1</v>
      </c>
      <c r="V1" t="s">
        <v>382</v>
      </c>
    </row>
    <row r="2" spans="1:22" x14ac:dyDescent="0.45">
      <c r="A2" s="89" t="s">
        <v>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2" x14ac:dyDescent="0.45">
      <c r="A3" s="46" t="s">
        <v>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22" x14ac:dyDescent="0.45">
      <c r="A4" s="46"/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2" x14ac:dyDescent="0.45">
      <c r="A5" s="150" t="s">
        <v>395</v>
      </c>
      <c r="B5" s="150"/>
      <c r="C5" s="150"/>
      <c r="D5" s="47"/>
      <c r="E5" s="47"/>
      <c r="F5" s="48" t="s">
        <v>4</v>
      </c>
      <c r="G5" s="48" t="s">
        <v>5</v>
      </c>
      <c r="H5" s="48" t="s">
        <v>6</v>
      </c>
      <c r="I5" s="48" t="s">
        <v>7</v>
      </c>
      <c r="J5" s="48" t="s">
        <v>8</v>
      </c>
      <c r="K5" s="48" t="s">
        <v>9</v>
      </c>
      <c r="L5" s="48" t="s">
        <v>10</v>
      </c>
      <c r="M5" s="48" t="s">
        <v>11</v>
      </c>
      <c r="N5" s="48" t="s">
        <v>12</v>
      </c>
      <c r="O5" s="48" t="s">
        <v>13</v>
      </c>
      <c r="P5" s="48" t="s">
        <v>14</v>
      </c>
      <c r="Q5" s="48" t="s">
        <v>15</v>
      </c>
      <c r="R5" s="47"/>
      <c r="S5" s="47"/>
      <c r="T5" s="6"/>
    </row>
    <row r="6" spans="1:22" x14ac:dyDescent="0.45">
      <c r="A6" s="150" t="s">
        <v>397</v>
      </c>
      <c r="B6" s="150"/>
      <c r="C6" s="150"/>
      <c r="D6" s="47"/>
      <c r="E6" s="76" t="s">
        <v>16</v>
      </c>
      <c r="F6" s="19" t="s">
        <v>17</v>
      </c>
      <c r="G6" s="19">
        <v>870</v>
      </c>
      <c r="H6" s="20">
        <f>G6/1000</f>
        <v>0.87</v>
      </c>
      <c r="I6" s="19">
        <v>170</v>
      </c>
      <c r="J6" s="19">
        <v>40</v>
      </c>
      <c r="K6" s="19">
        <v>92</v>
      </c>
      <c r="L6" s="19">
        <v>420</v>
      </c>
      <c r="M6" s="19">
        <v>156</v>
      </c>
      <c r="N6" s="19">
        <v>64</v>
      </c>
      <c r="O6" s="19">
        <f>M6+N6</f>
        <v>220</v>
      </c>
      <c r="P6" s="19">
        <v>54</v>
      </c>
      <c r="Q6" s="19">
        <v>175</v>
      </c>
      <c r="R6" s="75"/>
      <c r="S6" s="47"/>
    </row>
    <row r="7" spans="1:22" x14ac:dyDescent="0.45">
      <c r="A7" s="151" t="s">
        <v>396</v>
      </c>
      <c r="B7" s="137"/>
      <c r="C7" s="47"/>
      <c r="D7" s="47"/>
      <c r="E7" s="62"/>
      <c r="F7" s="21" t="s">
        <v>18</v>
      </c>
      <c r="G7" s="19">
        <v>880</v>
      </c>
      <c r="H7" s="20">
        <f t="shared" ref="H7:H11" si="0">G7/1000</f>
        <v>0.88</v>
      </c>
      <c r="I7" s="19">
        <v>120</v>
      </c>
      <c r="J7" s="19">
        <v>15</v>
      </c>
      <c r="K7" s="19">
        <v>0</v>
      </c>
      <c r="L7" s="19">
        <v>0</v>
      </c>
      <c r="M7" s="19">
        <v>650</v>
      </c>
      <c r="N7" s="19">
        <v>120</v>
      </c>
      <c r="O7" s="19">
        <f t="shared" ref="O7:O11" si="1">M7+N7</f>
        <v>770</v>
      </c>
      <c r="P7" s="19">
        <v>5</v>
      </c>
      <c r="Q7" s="19">
        <v>175</v>
      </c>
      <c r="R7" s="75"/>
      <c r="S7" s="47"/>
    </row>
    <row r="8" spans="1:22" x14ac:dyDescent="0.45">
      <c r="A8" s="47"/>
      <c r="B8" s="47"/>
      <c r="C8" s="47"/>
      <c r="D8" s="47"/>
      <c r="E8" s="62"/>
      <c r="F8" s="19" t="s">
        <v>20</v>
      </c>
      <c r="G8" s="19">
        <v>880</v>
      </c>
      <c r="H8" s="20">
        <f t="shared" si="0"/>
        <v>0.88</v>
      </c>
      <c r="I8" s="19">
        <v>156</v>
      </c>
      <c r="J8" s="19">
        <v>104</v>
      </c>
      <c r="K8" s="19">
        <v>172</v>
      </c>
      <c r="L8" s="19">
        <v>310</v>
      </c>
      <c r="M8" s="19">
        <v>652</v>
      </c>
      <c r="N8" s="19">
        <v>17</v>
      </c>
      <c r="O8" s="19">
        <f t="shared" si="1"/>
        <v>669</v>
      </c>
      <c r="P8" s="19">
        <v>20</v>
      </c>
      <c r="Q8" s="19">
        <v>185</v>
      </c>
      <c r="R8" s="75"/>
      <c r="S8" s="47"/>
    </row>
    <row r="9" spans="1:22" x14ac:dyDescent="0.45">
      <c r="A9" s="47" t="s">
        <v>19</v>
      </c>
      <c r="B9" s="47"/>
      <c r="C9" s="47"/>
      <c r="D9" s="47"/>
      <c r="E9" s="62"/>
      <c r="F9" s="21" t="s">
        <v>22</v>
      </c>
      <c r="G9" s="19">
        <v>880</v>
      </c>
      <c r="H9" s="20">
        <f t="shared" si="0"/>
        <v>0.88</v>
      </c>
      <c r="I9" s="19">
        <v>145</v>
      </c>
      <c r="J9" s="19">
        <v>35</v>
      </c>
      <c r="K9" s="19">
        <v>80</v>
      </c>
      <c r="L9" s="19">
        <v>216</v>
      </c>
      <c r="M9" s="19">
        <v>280</v>
      </c>
      <c r="N9" s="19">
        <v>73</v>
      </c>
      <c r="O9" s="19">
        <f t="shared" si="1"/>
        <v>353</v>
      </c>
      <c r="P9" s="19">
        <v>40</v>
      </c>
      <c r="Q9" s="19">
        <v>175</v>
      </c>
      <c r="R9" s="75"/>
      <c r="S9" s="47"/>
    </row>
    <row r="10" spans="1:22" x14ac:dyDescent="0.45">
      <c r="A10" s="47" t="s">
        <v>21</v>
      </c>
      <c r="B10" s="47"/>
      <c r="C10" s="47"/>
      <c r="D10" s="47"/>
      <c r="E10" s="62"/>
      <c r="F10" s="19" t="s">
        <v>24</v>
      </c>
      <c r="G10" s="19">
        <v>890</v>
      </c>
      <c r="H10" s="20">
        <f t="shared" si="0"/>
        <v>0.89</v>
      </c>
      <c r="I10" s="19">
        <v>385</v>
      </c>
      <c r="J10" s="19">
        <v>12</v>
      </c>
      <c r="K10" s="19">
        <v>94</v>
      </c>
      <c r="L10" s="19">
        <v>270</v>
      </c>
      <c r="M10" s="19">
        <v>45</v>
      </c>
      <c r="N10" s="19">
        <v>87</v>
      </c>
      <c r="O10" s="19">
        <f t="shared" si="1"/>
        <v>132</v>
      </c>
      <c r="P10" s="19">
        <v>80</v>
      </c>
      <c r="Q10" s="19">
        <v>350</v>
      </c>
      <c r="R10" s="75"/>
      <c r="S10" s="47"/>
    </row>
    <row r="11" spans="1:22" x14ac:dyDescent="0.45">
      <c r="A11" s="47" t="s">
        <v>23</v>
      </c>
      <c r="B11" s="47"/>
      <c r="C11" s="47"/>
      <c r="D11" s="47"/>
      <c r="E11" s="62"/>
      <c r="F11" s="19" t="s">
        <v>25</v>
      </c>
      <c r="G11" s="19">
        <v>860</v>
      </c>
      <c r="H11" s="20">
        <f t="shared" si="0"/>
        <v>0.86</v>
      </c>
      <c r="I11" s="19">
        <v>345</v>
      </c>
      <c r="J11" s="19">
        <v>40</v>
      </c>
      <c r="K11" s="19">
        <v>3</v>
      </c>
      <c r="L11" s="19">
        <v>130</v>
      </c>
      <c r="M11" s="19">
        <v>480</v>
      </c>
      <c r="N11" s="19">
        <v>55</v>
      </c>
      <c r="O11" s="19">
        <f t="shared" si="1"/>
        <v>535</v>
      </c>
      <c r="P11" s="19">
        <v>31</v>
      </c>
      <c r="Q11" s="19">
        <v>230</v>
      </c>
      <c r="R11" s="75"/>
      <c r="S11" s="47"/>
    </row>
    <row r="12" spans="1:22" x14ac:dyDescent="0.45">
      <c r="A12" s="45">
        <v>0</v>
      </c>
      <c r="B12" s="71" t="s">
        <v>26</v>
      </c>
      <c r="C12" s="47"/>
      <c r="D12" s="47"/>
      <c r="E12" s="62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R12" s="75"/>
      <c r="S12" s="47"/>
    </row>
    <row r="13" spans="1:22" x14ac:dyDescent="0.45">
      <c r="A13" s="47"/>
      <c r="B13" s="71" t="s">
        <v>27</v>
      </c>
      <c r="C13" s="47"/>
      <c r="D13" s="47"/>
      <c r="E13" s="62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R13" s="75"/>
      <c r="S13" s="47"/>
    </row>
    <row r="14" spans="1:22" x14ac:dyDescent="0.45">
      <c r="A14" s="47"/>
      <c r="B14" s="47"/>
      <c r="C14" s="47"/>
      <c r="D14" s="47"/>
      <c r="E14" s="62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R14" s="75"/>
      <c r="S14" s="47"/>
    </row>
    <row r="15" spans="1:22" x14ac:dyDescent="0.45">
      <c r="A15" s="47"/>
      <c r="B15" s="47"/>
      <c r="C15" s="47"/>
      <c r="D15" s="47"/>
      <c r="E15" s="62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R15" s="75"/>
      <c r="S15" s="47"/>
    </row>
    <row r="16" spans="1:22" x14ac:dyDescent="0.45">
      <c r="A16" s="47"/>
      <c r="B16" s="47"/>
      <c r="C16" s="47"/>
      <c r="D16" s="47"/>
      <c r="E16" s="62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02"/>
      <c r="R16" s="75"/>
      <c r="S16" s="47"/>
    </row>
    <row r="17" spans="1:21" ht="20.5" thickBot="1" x14ac:dyDescent="0.6">
      <c r="A17" s="49" t="s">
        <v>28</v>
      </c>
      <c r="B17" s="47"/>
      <c r="C17" s="47"/>
      <c r="D17" s="47"/>
      <c r="E17" s="47"/>
      <c r="F17" s="90" t="s">
        <v>29</v>
      </c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47"/>
      <c r="R17" s="47"/>
      <c r="S17" s="47"/>
    </row>
    <row r="18" spans="1:21" s="5" customFormat="1" ht="17" thickTop="1" x14ac:dyDescent="0.45">
      <c r="A18" s="51" t="s">
        <v>30</v>
      </c>
      <c r="B18" s="52" t="s">
        <v>31</v>
      </c>
      <c r="C18" s="52" t="s">
        <v>32</v>
      </c>
      <c r="D18" s="51"/>
      <c r="E18" s="51"/>
      <c r="F18" s="51"/>
      <c r="G18" s="51" t="s">
        <v>5</v>
      </c>
      <c r="H18" s="51" t="s">
        <v>6</v>
      </c>
      <c r="I18" s="51" t="s">
        <v>7</v>
      </c>
      <c r="J18" s="51" t="s">
        <v>8</v>
      </c>
      <c r="K18" s="51" t="s">
        <v>9</v>
      </c>
      <c r="L18" s="51" t="s">
        <v>10</v>
      </c>
      <c r="M18" s="51" t="s">
        <v>11</v>
      </c>
      <c r="N18" s="51" t="s">
        <v>12</v>
      </c>
      <c r="O18" s="51" t="s">
        <v>13</v>
      </c>
      <c r="P18" s="51" t="s">
        <v>14</v>
      </c>
      <c r="Q18" s="51" t="s">
        <v>15</v>
      </c>
      <c r="R18" s="51"/>
      <c r="S18" s="51"/>
    </row>
    <row r="19" spans="1:21" x14ac:dyDescent="0.45">
      <c r="A19" s="34" t="str">
        <f>F19</f>
        <v>Vehnälese</v>
      </c>
      <c r="B19" s="36">
        <v>0</v>
      </c>
      <c r="C19" s="37">
        <v>0.25</v>
      </c>
      <c r="D19" s="74" t="s">
        <v>33</v>
      </c>
      <c r="F19" s="17" t="str">
        <f>F6</f>
        <v>Vehnälese</v>
      </c>
      <c r="G19" s="17">
        <f t="shared" ref="G19:Q19" si="2">G6</f>
        <v>870</v>
      </c>
      <c r="H19" s="17">
        <f t="shared" si="2"/>
        <v>0.87</v>
      </c>
      <c r="I19" s="17">
        <f t="shared" si="2"/>
        <v>170</v>
      </c>
      <c r="J19" s="17">
        <f t="shared" si="2"/>
        <v>40</v>
      </c>
      <c r="K19" s="17">
        <f t="shared" si="2"/>
        <v>92</v>
      </c>
      <c r="L19" s="17">
        <f t="shared" si="2"/>
        <v>420</v>
      </c>
      <c r="M19" s="17">
        <f t="shared" si="2"/>
        <v>156</v>
      </c>
      <c r="N19" s="17">
        <f t="shared" si="2"/>
        <v>64</v>
      </c>
      <c r="O19" s="17">
        <f t="shared" si="2"/>
        <v>220</v>
      </c>
      <c r="P19" s="17">
        <f t="shared" si="2"/>
        <v>54</v>
      </c>
      <c r="Q19" s="17">
        <f t="shared" si="2"/>
        <v>175</v>
      </c>
      <c r="R19" s="47"/>
      <c r="S19" s="47"/>
    </row>
    <row r="20" spans="1:21" x14ac:dyDescent="0.45">
      <c r="A20" s="18" t="str">
        <f t="shared" ref="A20:A23" si="3">F20</f>
        <v>Kaura</v>
      </c>
      <c r="B20" s="38">
        <v>0.3</v>
      </c>
      <c r="C20" s="39">
        <v>0.65</v>
      </c>
      <c r="D20" s="74" t="s">
        <v>33</v>
      </c>
      <c r="E20" s="47"/>
      <c r="F20" s="17" t="str">
        <f>F8</f>
        <v>Kaura</v>
      </c>
      <c r="G20" s="17">
        <f t="shared" ref="G20:Q20" si="4">G8</f>
        <v>880</v>
      </c>
      <c r="H20" s="17">
        <f t="shared" si="4"/>
        <v>0.88</v>
      </c>
      <c r="I20" s="17">
        <f t="shared" si="4"/>
        <v>156</v>
      </c>
      <c r="J20" s="17">
        <f t="shared" si="4"/>
        <v>104</v>
      </c>
      <c r="K20" s="17">
        <f t="shared" si="4"/>
        <v>172</v>
      </c>
      <c r="L20" s="17">
        <f t="shared" si="4"/>
        <v>310</v>
      </c>
      <c r="M20" s="17">
        <f t="shared" si="4"/>
        <v>652</v>
      </c>
      <c r="N20" s="17">
        <f t="shared" si="4"/>
        <v>17</v>
      </c>
      <c r="O20" s="17">
        <f t="shared" si="4"/>
        <v>669</v>
      </c>
      <c r="P20" s="17">
        <f t="shared" si="4"/>
        <v>20</v>
      </c>
      <c r="Q20" s="17">
        <f t="shared" si="4"/>
        <v>185</v>
      </c>
      <c r="R20" s="47"/>
      <c r="S20" s="47"/>
    </row>
    <row r="21" spans="1:21" x14ac:dyDescent="0.45">
      <c r="A21" s="18" t="str">
        <f t="shared" si="3"/>
        <v>Ohra r.</v>
      </c>
      <c r="B21" s="38">
        <v>0.3</v>
      </c>
      <c r="C21" s="39">
        <v>0.65</v>
      </c>
      <c r="D21" s="74" t="s">
        <v>33</v>
      </c>
      <c r="E21" s="47"/>
      <c r="F21" s="17" t="str">
        <f>F9</f>
        <v>Ohra r.</v>
      </c>
      <c r="G21" s="17">
        <f t="shared" ref="G21:Q21" si="5">G9</f>
        <v>880</v>
      </c>
      <c r="H21" s="17">
        <f t="shared" si="5"/>
        <v>0.88</v>
      </c>
      <c r="I21" s="17">
        <f t="shared" si="5"/>
        <v>145</v>
      </c>
      <c r="J21" s="17">
        <f t="shared" si="5"/>
        <v>35</v>
      </c>
      <c r="K21" s="17">
        <f t="shared" si="5"/>
        <v>80</v>
      </c>
      <c r="L21" s="17">
        <f t="shared" si="5"/>
        <v>216</v>
      </c>
      <c r="M21" s="17">
        <f t="shared" si="5"/>
        <v>280</v>
      </c>
      <c r="N21" s="17">
        <f t="shared" si="5"/>
        <v>73</v>
      </c>
      <c r="O21" s="17">
        <f t="shared" si="5"/>
        <v>353</v>
      </c>
      <c r="P21" s="17">
        <f t="shared" si="5"/>
        <v>40</v>
      </c>
      <c r="Q21" s="17">
        <f t="shared" si="5"/>
        <v>175</v>
      </c>
      <c r="R21" s="47"/>
      <c r="S21" s="47"/>
    </row>
    <row r="22" spans="1:21" x14ac:dyDescent="0.45">
      <c r="A22" s="18" t="str">
        <f t="shared" si="3"/>
        <v>Herne</v>
      </c>
      <c r="B22" s="38">
        <v>0</v>
      </c>
      <c r="C22" s="39">
        <v>0.05</v>
      </c>
      <c r="D22" s="74" t="s">
        <v>33</v>
      </c>
      <c r="E22" s="47"/>
      <c r="F22" s="17" t="str">
        <f>F11</f>
        <v>Herne</v>
      </c>
      <c r="G22" s="17">
        <f t="shared" ref="G22:Q22" si="6">G11</f>
        <v>860</v>
      </c>
      <c r="H22" s="17">
        <f t="shared" si="6"/>
        <v>0.86</v>
      </c>
      <c r="I22" s="17">
        <f t="shared" si="6"/>
        <v>345</v>
      </c>
      <c r="J22" s="17">
        <f t="shared" si="6"/>
        <v>40</v>
      </c>
      <c r="K22" s="17">
        <f t="shared" si="6"/>
        <v>3</v>
      </c>
      <c r="L22" s="17">
        <f t="shared" si="6"/>
        <v>130</v>
      </c>
      <c r="M22" s="17">
        <f t="shared" si="6"/>
        <v>480</v>
      </c>
      <c r="N22" s="17">
        <f t="shared" si="6"/>
        <v>55</v>
      </c>
      <c r="O22" s="17">
        <f t="shared" si="6"/>
        <v>535</v>
      </c>
      <c r="P22" s="17">
        <f t="shared" si="6"/>
        <v>31</v>
      </c>
      <c r="Q22" s="17">
        <f t="shared" si="6"/>
        <v>230</v>
      </c>
      <c r="R22" s="47"/>
      <c r="S22" s="47"/>
    </row>
    <row r="23" spans="1:21" x14ac:dyDescent="0.45">
      <c r="A23" s="35" t="str">
        <f t="shared" si="3"/>
        <v>Vehnä</v>
      </c>
      <c r="B23" s="40">
        <v>0</v>
      </c>
      <c r="C23" s="41">
        <v>0</v>
      </c>
      <c r="D23" s="74" t="s">
        <v>33</v>
      </c>
      <c r="E23" s="47"/>
      <c r="F23" s="17" t="str">
        <f>F7</f>
        <v>Vehnä</v>
      </c>
      <c r="G23" s="17">
        <f t="shared" ref="G23:Q23" si="7">G7</f>
        <v>880</v>
      </c>
      <c r="H23" s="17">
        <f t="shared" si="7"/>
        <v>0.88</v>
      </c>
      <c r="I23" s="17">
        <f t="shared" si="7"/>
        <v>120</v>
      </c>
      <c r="J23" s="17">
        <f t="shared" si="7"/>
        <v>15</v>
      </c>
      <c r="K23" s="17">
        <f t="shared" si="7"/>
        <v>0</v>
      </c>
      <c r="L23" s="17">
        <f t="shared" si="7"/>
        <v>0</v>
      </c>
      <c r="M23" s="17">
        <f t="shared" si="7"/>
        <v>650</v>
      </c>
      <c r="N23" s="17">
        <f t="shared" si="7"/>
        <v>120</v>
      </c>
      <c r="O23" s="17">
        <f t="shared" si="7"/>
        <v>770</v>
      </c>
      <c r="P23" s="17">
        <f t="shared" si="7"/>
        <v>5</v>
      </c>
      <c r="Q23" s="17">
        <f t="shared" si="7"/>
        <v>175</v>
      </c>
      <c r="R23" s="47"/>
      <c r="S23" s="47"/>
    </row>
    <row r="24" spans="1:21" x14ac:dyDescent="0.45">
      <c r="A24" t="s">
        <v>34</v>
      </c>
      <c r="B24" s="61"/>
      <c r="C24" s="1">
        <f>SUM(C19:C23)</f>
        <v>1.6</v>
      </c>
      <c r="D24" s="71" t="s">
        <v>35</v>
      </c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U24" s="147" t="s">
        <v>384</v>
      </c>
    </row>
    <row r="25" spans="1:21" x14ac:dyDescent="0.45">
      <c r="A25" t="s">
        <v>36</v>
      </c>
      <c r="B25" s="22">
        <v>0.65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U25" t="s">
        <v>383</v>
      </c>
    </row>
    <row r="26" spans="1:21" x14ac:dyDescent="0.45">
      <c r="A26" t="s">
        <v>37</v>
      </c>
      <c r="B26" s="29">
        <v>1000</v>
      </c>
      <c r="C26" s="47" t="s">
        <v>38</v>
      </c>
      <c r="D26" s="47"/>
      <c r="E26" s="47"/>
      <c r="F26" s="54" t="s">
        <v>39</v>
      </c>
      <c r="G26" s="54"/>
      <c r="H26" s="54"/>
      <c r="I26" s="54"/>
      <c r="J26" s="54"/>
      <c r="K26" s="54"/>
      <c r="L26" s="54"/>
      <c r="M26" s="47"/>
      <c r="N26" s="47"/>
      <c r="O26" s="47"/>
      <c r="P26" s="47"/>
      <c r="Q26" s="47"/>
      <c r="R26" s="47"/>
      <c r="S26" s="47"/>
      <c r="U26" t="s">
        <v>385</v>
      </c>
    </row>
    <row r="27" spans="1:21" x14ac:dyDescent="0.45">
      <c r="A27" s="47"/>
      <c r="B27" s="47"/>
      <c r="C27" s="47"/>
      <c r="D27" s="47"/>
      <c r="E27" s="47"/>
      <c r="F27" s="54" t="s">
        <v>40</v>
      </c>
      <c r="G27" s="47"/>
      <c r="H27" s="56"/>
      <c r="I27" s="54"/>
      <c r="J27" s="57"/>
      <c r="K27" s="57"/>
      <c r="L27" s="57"/>
      <c r="M27" s="47"/>
      <c r="N27" s="47"/>
      <c r="O27" s="47"/>
      <c r="P27" s="47"/>
      <c r="Q27" s="47"/>
      <c r="R27" s="47"/>
      <c r="S27" s="47"/>
      <c r="U27" s="146" t="s">
        <v>381</v>
      </c>
    </row>
    <row r="28" spans="1:21" x14ac:dyDescent="0.45">
      <c r="A28" s="47"/>
      <c r="B28" s="53"/>
      <c r="C28" s="47"/>
      <c r="D28" s="47"/>
      <c r="E28" s="47"/>
      <c r="F28" s="54" t="str">
        <f>A19</f>
        <v>Vehnälese</v>
      </c>
      <c r="G28" s="77">
        <f>O71</f>
        <v>0.16</v>
      </c>
      <c r="H28" s="56"/>
      <c r="I28" s="54"/>
      <c r="J28" s="57"/>
      <c r="K28" s="57"/>
      <c r="L28" s="54"/>
      <c r="M28" s="47"/>
      <c r="N28" s="47"/>
      <c r="O28" s="47"/>
      <c r="P28" s="47"/>
      <c r="Q28" s="47"/>
      <c r="R28" s="47"/>
      <c r="S28" s="47"/>
    </row>
    <row r="29" spans="1:21" x14ac:dyDescent="0.45">
      <c r="A29" s="47"/>
      <c r="B29" s="53"/>
      <c r="C29" s="47"/>
      <c r="D29" s="47"/>
      <c r="E29" s="47"/>
      <c r="F29" s="54" t="str">
        <f>A20</f>
        <v>Kaura</v>
      </c>
      <c r="G29" s="55">
        <f>O72</f>
        <v>0.41</v>
      </c>
      <c r="H29" s="56"/>
      <c r="I29" s="54"/>
      <c r="J29" s="57"/>
      <c r="K29" s="57"/>
      <c r="L29" s="54"/>
      <c r="M29" s="47"/>
      <c r="N29" s="47"/>
      <c r="O29" s="47"/>
      <c r="P29" s="47"/>
      <c r="Q29" s="47"/>
      <c r="R29" s="47"/>
      <c r="S29" s="47"/>
    </row>
    <row r="30" spans="1:21" x14ac:dyDescent="0.45">
      <c r="A30" s="47"/>
      <c r="B30" s="53"/>
      <c r="C30" s="47"/>
      <c r="D30" s="47"/>
      <c r="E30" s="47"/>
      <c r="F30" s="54" t="str">
        <f>A21</f>
        <v>Ohra r.</v>
      </c>
      <c r="G30" s="55">
        <f>O73</f>
        <v>0.41</v>
      </c>
      <c r="H30" s="56"/>
      <c r="I30" s="54"/>
      <c r="J30" s="57"/>
      <c r="K30" s="57"/>
      <c r="L30" s="54"/>
      <c r="M30" s="47"/>
      <c r="N30" s="47"/>
      <c r="O30" s="47"/>
      <c r="P30" s="47"/>
      <c r="Q30" s="47"/>
      <c r="R30" s="47"/>
      <c r="S30" s="47"/>
    </row>
    <row r="31" spans="1:21" x14ac:dyDescent="0.45">
      <c r="A31" s="47"/>
      <c r="B31" s="53"/>
      <c r="C31" s="47"/>
      <c r="D31" s="47"/>
      <c r="E31" s="47"/>
      <c r="F31" s="54" t="str">
        <f>A22</f>
        <v>Herne</v>
      </c>
      <c r="G31" s="55">
        <f>O74</f>
        <v>0.03</v>
      </c>
      <c r="H31" s="47"/>
      <c r="I31" s="54"/>
      <c r="J31" s="56"/>
      <c r="K31" s="57"/>
      <c r="L31" s="54"/>
      <c r="M31" s="47"/>
      <c r="N31" s="47"/>
      <c r="O31" s="47"/>
      <c r="P31" s="47"/>
      <c r="Q31" s="47"/>
      <c r="R31" s="47"/>
      <c r="S31" s="47"/>
    </row>
    <row r="32" spans="1:21" x14ac:dyDescent="0.45">
      <c r="A32" s="47"/>
      <c r="B32" s="53"/>
      <c r="C32" s="47"/>
      <c r="D32" s="47"/>
      <c r="E32" s="47"/>
      <c r="F32" s="54" t="str">
        <f>A23</f>
        <v>Vehnä</v>
      </c>
      <c r="G32" s="58">
        <f>O75</f>
        <v>0</v>
      </c>
      <c r="H32" s="47"/>
      <c r="I32" s="54"/>
      <c r="J32" s="56"/>
      <c r="K32" s="54"/>
      <c r="L32" s="54"/>
      <c r="M32" s="47"/>
      <c r="N32" s="47"/>
      <c r="O32" s="47"/>
      <c r="P32" s="47"/>
      <c r="Q32" s="47"/>
      <c r="R32" s="47"/>
      <c r="S32" s="47"/>
    </row>
    <row r="33" spans="1:21" x14ac:dyDescent="0.45">
      <c r="A33" s="47"/>
      <c r="B33" s="53"/>
      <c r="C33" s="47"/>
      <c r="D33" s="47"/>
      <c r="E33" s="47"/>
      <c r="F33" s="54" t="s">
        <v>34</v>
      </c>
      <c r="G33" s="59">
        <f>SUM(G28:G32)</f>
        <v>1.01</v>
      </c>
      <c r="H33" s="60"/>
      <c r="I33" s="60"/>
      <c r="J33" s="47"/>
      <c r="K33" s="60"/>
      <c r="L33" s="60"/>
      <c r="M33" s="47"/>
      <c r="N33" s="47"/>
      <c r="O33" s="47"/>
      <c r="P33" s="47"/>
      <c r="Q33" s="47"/>
      <c r="R33" s="47"/>
      <c r="S33" s="47"/>
    </row>
    <row r="34" spans="1:21" ht="20.5" thickBot="1" x14ac:dyDescent="0.6">
      <c r="A34" s="49" t="s">
        <v>41</v>
      </c>
      <c r="B34" s="53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</row>
    <row r="35" spans="1:21" ht="17" thickTop="1" x14ac:dyDescent="0.45">
      <c r="A35" s="47"/>
      <c r="B35" s="51" t="s">
        <v>42</v>
      </c>
      <c r="C35" s="47"/>
      <c r="D35" s="79" t="s">
        <v>43</v>
      </c>
      <c r="E35" s="48"/>
      <c r="F35" s="78" t="s">
        <v>44</v>
      </c>
      <c r="G35" s="51"/>
      <c r="H35" s="79" t="s">
        <v>30</v>
      </c>
      <c r="I35" s="48"/>
      <c r="J35" s="78"/>
      <c r="K35" s="48"/>
      <c r="L35" s="47"/>
      <c r="M35" s="47"/>
      <c r="N35" s="47"/>
      <c r="O35" s="47"/>
      <c r="P35" s="47"/>
      <c r="Q35" s="47"/>
      <c r="R35" s="47"/>
      <c r="S35" s="47"/>
      <c r="T35" s="47"/>
    </row>
    <row r="36" spans="1:21" x14ac:dyDescent="0.45">
      <c r="A36" s="47"/>
      <c r="B36" s="51" t="s">
        <v>45</v>
      </c>
      <c r="C36" s="51"/>
      <c r="D36" s="51" t="s">
        <v>46</v>
      </c>
      <c r="E36" s="47"/>
      <c r="F36" s="51"/>
      <c r="G36" s="51"/>
      <c r="H36" s="47"/>
      <c r="I36" s="51" t="s">
        <v>47</v>
      </c>
      <c r="J36" s="51" t="s">
        <v>48</v>
      </c>
      <c r="K36" s="51" t="s">
        <v>38</v>
      </c>
      <c r="L36" s="47"/>
      <c r="M36" s="47"/>
      <c r="N36" s="47"/>
      <c r="O36" s="47"/>
      <c r="P36" s="47"/>
      <c r="Q36" s="47"/>
      <c r="R36" s="47"/>
      <c r="S36" s="47"/>
      <c r="T36" s="47"/>
      <c r="U36" s="47"/>
    </row>
    <row r="37" spans="1:21" x14ac:dyDescent="0.45">
      <c r="A37" s="47" t="str">
        <f>A19</f>
        <v>Vehnälese</v>
      </c>
      <c r="B37" s="16">
        <v>0.16</v>
      </c>
      <c r="C37" s="47"/>
      <c r="D37" s="30">
        <f>1-D38-D39-D40-D41</f>
        <v>2.4305746942012527E-2</v>
      </c>
      <c r="E37" s="72" t="s">
        <v>49</v>
      </c>
      <c r="F37" s="61">
        <f>E79</f>
        <v>2.4063536589146249E-2</v>
      </c>
      <c r="G37" s="61"/>
      <c r="H37" s="47" t="str">
        <f>A37</f>
        <v>Vehnälese</v>
      </c>
      <c r="I37" s="61">
        <f>C79/D$87</f>
        <v>1.9361466221152154E-3</v>
      </c>
      <c r="J37" s="25">
        <f>(C79+D79)/D$86</f>
        <v>9.6807331105760765E-3</v>
      </c>
      <c r="K37" s="28">
        <f t="shared" ref="K37:K43" si="8">J37*B$26</f>
        <v>9.6807331105760763</v>
      </c>
      <c r="L37" s="47"/>
      <c r="M37" s="47"/>
      <c r="N37" s="47"/>
      <c r="O37" s="47"/>
      <c r="P37" s="47"/>
      <c r="Q37" s="47"/>
      <c r="R37" s="47"/>
      <c r="S37" s="47"/>
      <c r="T37" s="47"/>
      <c r="U37" s="47"/>
    </row>
    <row r="38" spans="1:21" x14ac:dyDescent="0.45">
      <c r="A38" s="47" t="str">
        <f>A20</f>
        <v>Kaura</v>
      </c>
      <c r="B38" s="16">
        <v>0.4</v>
      </c>
      <c r="C38" s="47"/>
      <c r="D38" s="31">
        <v>0.42744292953006702</v>
      </c>
      <c r="E38" s="73" t="s">
        <v>50</v>
      </c>
      <c r="F38" s="61">
        <f>E80</f>
        <v>0.42804757468345039</v>
      </c>
      <c r="G38" s="61"/>
      <c r="H38" s="47" t="str">
        <f>A38</f>
        <v>Kaura</v>
      </c>
      <c r="I38" s="61">
        <f>C80/D$87</f>
        <v>3.1430066672561041E-2</v>
      </c>
      <c r="J38" s="25">
        <f>(C80+D80)/D$86</f>
        <v>0.17024619447637232</v>
      </c>
      <c r="K38" s="28">
        <f t="shared" si="8"/>
        <v>170.24619447637232</v>
      </c>
      <c r="L38" s="47"/>
      <c r="M38" s="47"/>
      <c r="N38" s="47"/>
      <c r="O38" s="47"/>
      <c r="P38" s="47"/>
      <c r="Q38" s="47"/>
      <c r="R38" s="47"/>
      <c r="S38" s="47"/>
      <c r="T38" s="47"/>
      <c r="U38" s="47"/>
    </row>
    <row r="39" spans="1:21" x14ac:dyDescent="0.45">
      <c r="A39" s="47" t="str">
        <f>A21</f>
        <v>Ohra r.</v>
      </c>
      <c r="B39" s="16">
        <v>0.41</v>
      </c>
      <c r="C39" s="47"/>
      <c r="D39" s="32">
        <v>0.49825132352792045</v>
      </c>
      <c r="E39" s="73" t="s">
        <v>50</v>
      </c>
      <c r="F39" s="61">
        <f>E81</f>
        <v>0.49895613164878289</v>
      </c>
      <c r="G39" s="61"/>
      <c r="H39" s="47" t="str">
        <f>A39</f>
        <v>Ohra r.</v>
      </c>
      <c r="I39" s="61">
        <f>C81/D$87</f>
        <v>3.6636639037148387E-2</v>
      </c>
      <c r="J39" s="25">
        <f>(C81+D81)/D$86</f>
        <v>0.19844846145122047</v>
      </c>
      <c r="K39" s="28">
        <f t="shared" si="8"/>
        <v>198.44846145122048</v>
      </c>
      <c r="L39" s="47"/>
      <c r="M39" s="47" t="s">
        <v>51</v>
      </c>
      <c r="N39" s="47" t="s">
        <v>52</v>
      </c>
      <c r="O39" s="47"/>
      <c r="P39" s="47"/>
      <c r="Q39" s="47"/>
      <c r="R39" s="47"/>
      <c r="S39" s="47"/>
      <c r="T39" s="47"/>
      <c r="U39" s="47"/>
    </row>
    <row r="40" spans="1:21" x14ac:dyDescent="0.45">
      <c r="A40" s="47" t="str">
        <f>A22</f>
        <v>Herne</v>
      </c>
      <c r="B40" s="16">
        <v>0.03</v>
      </c>
      <c r="C40" s="47"/>
      <c r="D40" s="33">
        <v>0.05</v>
      </c>
      <c r="E40" s="73" t="s">
        <v>50</v>
      </c>
      <c r="F40" s="61">
        <f>E82</f>
        <v>4.893275707862034E-2</v>
      </c>
      <c r="G40" s="61"/>
      <c r="H40" s="47" t="str">
        <f>A40</f>
        <v>Herne</v>
      </c>
      <c r="I40" s="61">
        <f>C82/D$87</f>
        <v>4.2892756652100116E-3</v>
      </c>
      <c r="J40" s="25">
        <f>(C82+D82)/D$86</f>
        <v>1.9914494159903626E-2</v>
      </c>
      <c r="K40" s="28">
        <f t="shared" si="8"/>
        <v>19.914494159903626</v>
      </c>
      <c r="L40" s="47"/>
      <c r="M40" s="47"/>
      <c r="N40" s="51"/>
      <c r="O40" s="47"/>
      <c r="P40" s="47"/>
      <c r="Q40" s="47"/>
      <c r="R40" s="47"/>
      <c r="S40" s="47"/>
      <c r="T40" s="47"/>
      <c r="U40" s="47"/>
    </row>
    <row r="41" spans="1:21" x14ac:dyDescent="0.45">
      <c r="A41" s="47" t="str">
        <f>A23</f>
        <v>Vehnä</v>
      </c>
      <c r="B41" s="16">
        <v>0</v>
      </c>
      <c r="C41" s="47"/>
      <c r="D41" s="42">
        <v>0</v>
      </c>
      <c r="E41" s="73" t="s">
        <v>50</v>
      </c>
      <c r="F41" s="61">
        <f>E83</f>
        <v>0</v>
      </c>
      <c r="G41" s="61"/>
      <c r="H41" s="47" t="str">
        <f>A41</f>
        <v>Vehnä</v>
      </c>
      <c r="I41" s="61">
        <f>C83/D$87</f>
        <v>0</v>
      </c>
      <c r="J41" s="25">
        <f>(C83+D83)/D$86</f>
        <v>0</v>
      </c>
      <c r="K41" s="28">
        <f t="shared" si="8"/>
        <v>0</v>
      </c>
      <c r="L41" s="47"/>
      <c r="M41" s="47"/>
      <c r="N41" s="81" t="s">
        <v>53</v>
      </c>
      <c r="O41" s="80">
        <f>B25</f>
        <v>0.65</v>
      </c>
      <c r="P41" s="47"/>
      <c r="Q41" s="47"/>
      <c r="R41" s="47"/>
      <c r="S41" s="47"/>
      <c r="T41" s="47"/>
      <c r="U41" s="47"/>
    </row>
    <row r="42" spans="1:21" x14ac:dyDescent="0.45">
      <c r="A42" s="47"/>
      <c r="B42" s="61">
        <f>SUM(B37:B41)</f>
        <v>1</v>
      </c>
      <c r="C42" s="47"/>
      <c r="D42" s="63">
        <f>SUM(D37:D41)</f>
        <v>1</v>
      </c>
      <c r="E42" s="73" t="s">
        <v>54</v>
      </c>
      <c r="F42" s="47"/>
      <c r="G42" s="47"/>
      <c r="H42" s="47" t="str">
        <f>A44</f>
        <v>Vesi</v>
      </c>
      <c r="I42" s="61">
        <f>1-I37-I38-I39-I40-I41</f>
        <v>0.92570787200296545</v>
      </c>
      <c r="J42" s="25">
        <f>1-SUM(J37:J41)</f>
        <v>0.60171011680192743</v>
      </c>
      <c r="K42" s="28">
        <f t="shared" si="8"/>
        <v>601.71011680192748</v>
      </c>
      <c r="L42" s="47"/>
      <c r="M42" s="47"/>
      <c r="N42" s="81" t="s">
        <v>55</v>
      </c>
      <c r="O42" s="61">
        <f>J42</f>
        <v>0.60171011680192743</v>
      </c>
      <c r="P42" s="47"/>
      <c r="Q42" s="47"/>
      <c r="R42" s="47"/>
      <c r="S42" s="47"/>
      <c r="T42" s="47"/>
      <c r="U42" s="47"/>
    </row>
    <row r="43" spans="1:21" x14ac:dyDescent="0.45">
      <c r="A43" s="51" t="s">
        <v>56</v>
      </c>
      <c r="B43" s="47"/>
      <c r="C43" s="47"/>
      <c r="D43" s="61">
        <f>C84</f>
        <v>0.12124305746942013</v>
      </c>
      <c r="E43" s="47"/>
      <c r="F43" s="47"/>
      <c r="G43" s="47"/>
      <c r="H43" s="47"/>
      <c r="I43" s="61"/>
      <c r="J43" s="65">
        <f>SUM(J37:J42)</f>
        <v>1</v>
      </c>
      <c r="K43" s="66">
        <f t="shared" si="8"/>
        <v>1000</v>
      </c>
      <c r="L43" s="47"/>
      <c r="M43" s="47"/>
      <c r="N43" s="47"/>
      <c r="O43" s="47"/>
      <c r="P43" s="47"/>
      <c r="Q43" s="47"/>
      <c r="R43" s="47"/>
      <c r="S43" s="47"/>
      <c r="T43" s="47"/>
      <c r="U43" s="47"/>
    </row>
    <row r="44" spans="1:21" x14ac:dyDescent="0.45">
      <c r="A44" s="51" t="s">
        <v>57</v>
      </c>
      <c r="B44" s="47"/>
      <c r="C44" s="47"/>
      <c r="D44" s="47"/>
      <c r="E44" s="47"/>
      <c r="F44" s="47"/>
      <c r="G44" s="47"/>
      <c r="H44" s="47"/>
      <c r="J44" s="47"/>
      <c r="K44" s="47"/>
      <c r="M44" s="47"/>
      <c r="N44" s="47"/>
      <c r="O44" s="47"/>
      <c r="P44" s="47"/>
      <c r="Q44" s="47"/>
      <c r="R44" s="47"/>
      <c r="S44" s="47"/>
      <c r="T44" s="47"/>
      <c r="U44" s="47"/>
    </row>
    <row r="45" spans="1:21" x14ac:dyDescent="0.45">
      <c r="A45" s="47"/>
      <c r="B45" s="47"/>
      <c r="C45" s="47"/>
      <c r="D45" s="47"/>
      <c r="E45" s="47"/>
      <c r="F45" s="47"/>
      <c r="G45" s="47"/>
      <c r="H45" s="47"/>
      <c r="I45" s="61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</row>
    <row r="46" spans="1:21" ht="20.5" thickBot="1" x14ac:dyDescent="0.6">
      <c r="A46" s="49" t="s">
        <v>58</v>
      </c>
      <c r="B46" s="47"/>
      <c r="C46" s="47"/>
      <c r="E46" s="47"/>
      <c r="F46" s="64" t="s">
        <v>59</v>
      </c>
      <c r="G46" s="51" t="s">
        <v>60</v>
      </c>
      <c r="H46" s="47"/>
      <c r="I46" s="54"/>
      <c r="J46" s="54"/>
      <c r="K46" s="54"/>
      <c r="L46" s="47"/>
      <c r="M46" s="47"/>
      <c r="N46" s="47"/>
      <c r="O46" s="47"/>
      <c r="P46" s="47"/>
      <c r="Q46" s="47"/>
      <c r="R46" s="47"/>
      <c r="S46" s="47"/>
      <c r="T46" s="47"/>
    </row>
    <row r="47" spans="1:21" ht="17" thickTop="1" x14ac:dyDescent="0.45">
      <c r="A47" s="51"/>
      <c r="B47" s="51" t="s">
        <v>61</v>
      </c>
      <c r="C47" s="51" t="s">
        <v>62</v>
      </c>
      <c r="D47" s="78" t="s">
        <v>63</v>
      </c>
      <c r="E47" s="78"/>
      <c r="F47" s="64" t="s">
        <v>64</v>
      </c>
      <c r="G47" s="64" t="s">
        <v>64</v>
      </c>
      <c r="H47" s="47"/>
      <c r="I47" s="47"/>
      <c r="J47" s="47"/>
      <c r="K47" s="57"/>
      <c r="L47" s="57"/>
      <c r="M47" s="54"/>
      <c r="N47" s="47"/>
      <c r="O47" s="47"/>
      <c r="P47" s="47"/>
      <c r="Q47" s="47"/>
      <c r="R47" s="47"/>
      <c r="S47" s="47"/>
      <c r="T47" s="47"/>
    </row>
    <row r="48" spans="1:21" x14ac:dyDescent="0.45">
      <c r="A48" s="51" t="s">
        <v>65</v>
      </c>
      <c r="B48" s="51" t="s">
        <v>66</v>
      </c>
      <c r="C48" s="51" t="s">
        <v>67</v>
      </c>
      <c r="D48" s="51" t="s">
        <v>66</v>
      </c>
      <c r="E48" s="51" t="s">
        <v>68</v>
      </c>
      <c r="F48" s="23" t="s">
        <v>69</v>
      </c>
      <c r="G48" s="51" t="s">
        <v>69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</row>
    <row r="49" spans="1:20" s="8" customFormat="1" x14ac:dyDescent="0.45">
      <c r="A49" s="47" t="s">
        <v>70</v>
      </c>
      <c r="B49" s="137">
        <v>170</v>
      </c>
      <c r="C49" s="17">
        <v>1</v>
      </c>
      <c r="D49" s="67">
        <f>F84</f>
        <v>160.09666315197066</v>
      </c>
      <c r="E49" s="67">
        <f t="shared" ref="E49:E56" si="9">D49/B49</f>
        <v>0.94174507736453328</v>
      </c>
      <c r="F49" s="26">
        <f t="shared" ref="F49:F55" si="10">P79*(1-R79)^2</f>
        <v>3.3936360112642129E-3</v>
      </c>
      <c r="G49" s="69">
        <f t="shared" ref="G49:G56" si="11">(1-R79)^2</f>
        <v>3.3936360112642129E-3</v>
      </c>
      <c r="H49" s="60"/>
      <c r="I49" s="60"/>
      <c r="J49" s="47"/>
      <c r="K49" s="60"/>
      <c r="L49" s="60"/>
      <c r="M49" s="60"/>
      <c r="N49" s="60"/>
      <c r="O49" s="47"/>
      <c r="P49" s="47"/>
      <c r="Q49" s="47"/>
      <c r="R49" s="47"/>
      <c r="S49" s="47"/>
      <c r="T49" s="47"/>
    </row>
    <row r="50" spans="1:20" s="8" customFormat="1" x14ac:dyDescent="0.45">
      <c r="A50" s="47" t="s">
        <v>71</v>
      </c>
      <c r="B50" s="137">
        <v>100</v>
      </c>
      <c r="C50" s="17">
        <v>1</v>
      </c>
      <c r="D50" s="67">
        <f>G84</f>
        <v>64.900264121496903</v>
      </c>
      <c r="E50" s="67">
        <f t="shared" si="9"/>
        <v>0.64900264121496898</v>
      </c>
      <c r="F50" s="26">
        <f t="shared" si="10"/>
        <v>0.1231991458740678</v>
      </c>
      <c r="G50" s="69">
        <f t="shared" si="11"/>
        <v>0.1231991458740678</v>
      </c>
      <c r="H50" s="60"/>
      <c r="I50" s="60"/>
      <c r="J50" s="47"/>
      <c r="K50" s="60"/>
      <c r="L50" s="60"/>
      <c r="M50" s="60"/>
      <c r="N50" s="60"/>
      <c r="O50" s="70"/>
      <c r="P50" s="60"/>
      <c r="Q50" s="60"/>
      <c r="R50" s="60"/>
      <c r="S50" s="60"/>
      <c r="T50" s="60"/>
    </row>
    <row r="51" spans="1:20" s="8" customFormat="1" x14ac:dyDescent="0.45">
      <c r="A51" s="47" t="s">
        <v>72</v>
      </c>
      <c r="B51" s="137">
        <v>100</v>
      </c>
      <c r="C51" s="17">
        <v>0.25</v>
      </c>
      <c r="D51" s="67">
        <f>H84</f>
        <v>115.90131701489341</v>
      </c>
      <c r="E51" s="67">
        <f t="shared" si="9"/>
        <v>1.1590131701489341</v>
      </c>
      <c r="F51" s="26">
        <f t="shared" si="10"/>
        <v>6.3212970702034689E-3</v>
      </c>
      <c r="G51" s="69">
        <f t="shared" si="11"/>
        <v>2.5285188280813876E-2</v>
      </c>
      <c r="H51" s="60"/>
      <c r="I51" s="60"/>
      <c r="J51" s="47"/>
      <c r="K51" s="60"/>
      <c r="L51" s="60"/>
      <c r="M51" s="60"/>
      <c r="N51" s="60"/>
      <c r="O51" s="70"/>
      <c r="P51" s="70"/>
      <c r="Q51" s="70"/>
      <c r="R51" s="70"/>
      <c r="S51" s="60"/>
      <c r="T51" s="60"/>
    </row>
    <row r="52" spans="1:20" s="7" customFormat="1" x14ac:dyDescent="0.45">
      <c r="A52" s="47" t="s">
        <v>73</v>
      </c>
      <c r="B52" s="137">
        <v>200</v>
      </c>
      <c r="C52" s="17">
        <v>0.25</v>
      </c>
      <c r="D52" s="67">
        <f>I84</f>
        <v>256.93721637566875</v>
      </c>
      <c r="E52" s="67">
        <f t="shared" si="9"/>
        <v>1.2846860818783439</v>
      </c>
      <c r="F52" s="26">
        <f t="shared" si="10"/>
        <v>2.026154130381078E-2</v>
      </c>
      <c r="G52" s="69">
        <f t="shared" si="11"/>
        <v>8.1046165215243118E-2</v>
      </c>
      <c r="H52" s="54"/>
      <c r="I52" s="54"/>
      <c r="J52" s="47"/>
      <c r="K52" s="54"/>
      <c r="L52" s="54"/>
      <c r="M52" s="54"/>
      <c r="N52" s="54"/>
      <c r="O52" s="59"/>
      <c r="P52" s="59"/>
      <c r="Q52" s="54"/>
      <c r="R52" s="54"/>
      <c r="S52" s="54"/>
      <c r="T52" s="54"/>
    </row>
    <row r="53" spans="1:20" s="8" customFormat="1" x14ac:dyDescent="0.45">
      <c r="A53" s="47" t="s">
        <v>11</v>
      </c>
      <c r="B53" s="137">
        <v>400</v>
      </c>
      <c r="C53" s="17">
        <v>0.25</v>
      </c>
      <c r="D53" s="67">
        <f>J84</f>
        <v>446.03637066091341</v>
      </c>
      <c r="E53" s="67">
        <f t="shared" si="9"/>
        <v>1.1150909266522835</v>
      </c>
      <c r="F53" s="26">
        <f t="shared" si="10"/>
        <v>3.3114803494203246E-3</v>
      </c>
      <c r="G53" s="69">
        <f t="shared" si="11"/>
        <v>1.3245921397681298E-2</v>
      </c>
      <c r="H53" s="60"/>
      <c r="I53" s="60"/>
      <c r="J53" s="47"/>
      <c r="K53" s="60"/>
      <c r="L53" s="60"/>
      <c r="M53" s="60"/>
      <c r="N53" s="60"/>
      <c r="O53" s="60"/>
      <c r="P53" s="60"/>
      <c r="Q53" s="60"/>
      <c r="R53" s="60"/>
      <c r="S53" s="60"/>
      <c r="T53" s="60"/>
    </row>
    <row r="54" spans="1:20" s="8" customFormat="1" x14ac:dyDescent="0.45">
      <c r="A54" s="47" t="s">
        <v>12</v>
      </c>
      <c r="B54" s="137">
        <v>100</v>
      </c>
      <c r="C54" s="17">
        <v>0.25</v>
      </c>
      <c r="D54" s="67">
        <f>K84</f>
        <v>47.931974361009281</v>
      </c>
      <c r="E54" s="67">
        <f t="shared" si="9"/>
        <v>0.47931974361009283</v>
      </c>
      <c r="F54" s="26">
        <f t="shared" si="10"/>
        <v>6.7776982348564857E-2</v>
      </c>
      <c r="G54" s="69">
        <f t="shared" si="11"/>
        <v>0.27110792939425943</v>
      </c>
      <c r="H54" s="60"/>
      <c r="I54" s="60"/>
      <c r="J54" s="47"/>
      <c r="K54" s="60"/>
      <c r="L54" s="60"/>
      <c r="M54" s="60"/>
      <c r="N54" s="60"/>
      <c r="O54" s="60"/>
      <c r="P54" s="60"/>
      <c r="Q54" s="60"/>
      <c r="R54" s="60"/>
      <c r="S54" s="60"/>
      <c r="T54" s="60"/>
    </row>
    <row r="55" spans="1:20" s="8" customFormat="1" x14ac:dyDescent="0.45">
      <c r="A55" s="47" t="s">
        <v>13</v>
      </c>
      <c r="B55" s="137">
        <f>ROUND(B49*2.94116,0)</f>
        <v>500</v>
      </c>
      <c r="C55" s="17">
        <v>0.25</v>
      </c>
      <c r="D55" s="67">
        <f>L84</f>
        <v>493.96834502192274</v>
      </c>
      <c r="E55" s="67">
        <f t="shared" si="9"/>
        <v>0.98793669004384543</v>
      </c>
      <c r="F55" s="26">
        <f t="shared" si="10"/>
        <v>3.638086177456447E-5</v>
      </c>
      <c r="G55" s="69">
        <f t="shared" si="11"/>
        <v>1.4552344709825788E-4</v>
      </c>
      <c r="H55" s="60"/>
      <c r="I55" s="60"/>
      <c r="J55" s="47"/>
      <c r="K55" s="60"/>
      <c r="L55" s="60"/>
      <c r="M55" s="60"/>
      <c r="N55" s="60"/>
      <c r="O55" s="70"/>
      <c r="P55" s="70"/>
      <c r="Q55" s="60"/>
      <c r="R55" s="60"/>
      <c r="S55" s="60"/>
      <c r="T55" s="60"/>
    </row>
    <row r="56" spans="1:20" s="8" customFormat="1" x14ac:dyDescent="0.45">
      <c r="A56" s="47" t="s">
        <v>14</v>
      </c>
      <c r="B56" s="137">
        <v>55</v>
      </c>
      <c r="C56" s="17">
        <v>0.5</v>
      </c>
      <c r="D56" s="67">
        <f>M84</f>
        <v>31.335543204871449</v>
      </c>
      <c r="E56" s="67">
        <f t="shared" si="9"/>
        <v>0.56973714917948093</v>
      </c>
      <c r="F56" s="26">
        <f>P86*(1-R86)^2</f>
        <v>9.2563060398100125E-2</v>
      </c>
      <c r="G56" s="69">
        <f t="shared" si="11"/>
        <v>0.18512612079620025</v>
      </c>
      <c r="H56" s="60"/>
      <c r="I56" s="60"/>
      <c r="J56" s="47"/>
      <c r="K56" s="60"/>
      <c r="L56" s="60"/>
      <c r="M56" s="60"/>
      <c r="N56" s="60"/>
      <c r="O56" s="70"/>
      <c r="P56" s="60"/>
      <c r="Q56" s="60"/>
      <c r="R56" s="60"/>
      <c r="S56" s="60"/>
      <c r="T56" s="60"/>
    </row>
    <row r="57" spans="1:20" s="8" customFormat="1" x14ac:dyDescent="0.45">
      <c r="A57" s="47"/>
      <c r="B57" s="52" t="s">
        <v>74</v>
      </c>
      <c r="C57"/>
      <c r="D57" s="47"/>
      <c r="E57" s="47"/>
      <c r="F57" s="43">
        <f>SUM(F49:F56)</f>
        <v>0.31686352421720615</v>
      </c>
      <c r="G57" s="73" t="s">
        <v>75</v>
      </c>
      <c r="H57" s="60"/>
      <c r="I57" s="60"/>
      <c r="J57" s="47"/>
      <c r="K57" s="60"/>
      <c r="L57" s="60"/>
      <c r="M57" s="60"/>
      <c r="N57" s="60"/>
      <c r="O57" s="60"/>
      <c r="P57" s="60"/>
      <c r="Q57" s="60"/>
      <c r="R57" s="60"/>
      <c r="S57" s="60"/>
      <c r="T57" s="60"/>
    </row>
    <row r="58" spans="1:20" s="8" customFormat="1" x14ac:dyDescent="0.45">
      <c r="A58" s="60"/>
      <c r="B58" s="60"/>
      <c r="C58" s="60"/>
      <c r="D58" s="60"/>
      <c r="E58" s="60"/>
      <c r="F58" s="47"/>
      <c r="G58" s="47"/>
      <c r="H58" s="47"/>
      <c r="I58" s="47"/>
      <c r="J58" s="60"/>
      <c r="K58" s="60"/>
      <c r="L58" s="60"/>
      <c r="M58" s="60"/>
      <c r="N58" s="60"/>
      <c r="O58" s="60"/>
      <c r="P58" s="60"/>
      <c r="Q58" s="60"/>
      <c r="R58" s="60"/>
      <c r="S58" s="60"/>
    </row>
    <row r="59" spans="1:20" s="8" customFormat="1" x14ac:dyDescent="0.45">
      <c r="A59" s="60"/>
      <c r="B59" s="60"/>
      <c r="C59" s="60"/>
      <c r="D59" s="143">
        <f>D49+D50+D52+D55+D56</f>
        <v>1007.2380318759305</v>
      </c>
      <c r="E59" s="60"/>
      <c r="F59" s="47"/>
      <c r="G59" s="47"/>
      <c r="H59" s="47"/>
      <c r="I59" s="47"/>
      <c r="J59" s="60"/>
      <c r="K59" s="60"/>
      <c r="L59" s="60"/>
      <c r="M59" s="60"/>
      <c r="N59" s="60"/>
      <c r="O59" s="60"/>
      <c r="P59" s="60"/>
      <c r="Q59" s="60"/>
      <c r="R59" s="60"/>
      <c r="S59" s="60"/>
    </row>
    <row r="60" spans="1:20" s="8" customFormat="1" x14ac:dyDescent="0.45">
      <c r="A60" s="60"/>
      <c r="B60" s="47"/>
      <c r="C60" s="60"/>
      <c r="D60" s="60"/>
      <c r="E60" s="60"/>
      <c r="F60" s="60"/>
      <c r="G60" s="47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</row>
    <row r="61" spans="1:20" s="8" customFormat="1" x14ac:dyDescent="0.45">
      <c r="A61" s="47"/>
      <c r="B61" s="47"/>
      <c r="C61" s="47"/>
      <c r="D61" s="68"/>
      <c r="E61" s="47"/>
      <c r="F61" s="47"/>
      <c r="H61" s="47"/>
      <c r="I61" s="47"/>
      <c r="J61" s="47"/>
      <c r="K61" s="47"/>
      <c r="L61" s="60"/>
      <c r="M61" s="60"/>
      <c r="N61" s="60"/>
      <c r="O61" s="60"/>
      <c r="P61" s="60"/>
      <c r="Q61" s="60"/>
      <c r="R61" s="60"/>
      <c r="S61" s="60"/>
    </row>
    <row r="62" spans="1:20" s="8" customFormat="1" x14ac:dyDescent="0.45">
      <c r="A62" s="47"/>
      <c r="B62" s="47"/>
      <c r="C62" s="47"/>
      <c r="D62" s="68"/>
      <c r="E62" s="56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</row>
    <row r="63" spans="1:20" s="8" customFormat="1" x14ac:dyDescent="0.45">
      <c r="A63" s="60"/>
      <c r="B63" s="60"/>
      <c r="C63" s="60"/>
      <c r="D63" s="60"/>
      <c r="E63" s="56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</row>
    <row r="64" spans="1:20" s="86" customFormat="1" hidden="1" x14ac:dyDescent="0.45">
      <c r="E64" s="10"/>
      <c r="N64" s="87"/>
      <c r="O64" s="87"/>
      <c r="P64" s="87"/>
      <c r="Q64" s="87"/>
      <c r="R64" s="87"/>
      <c r="S64" s="87"/>
    </row>
    <row r="65" spans="1:18" s="86" customFormat="1" hidden="1" x14ac:dyDescent="0.45">
      <c r="E65" s="10"/>
    </row>
    <row r="66" spans="1:18" s="86" customFormat="1" hidden="1" x14ac:dyDescent="0.45"/>
    <row r="67" spans="1:18" s="11" customFormat="1" hidden="1" x14ac:dyDescent="0.45"/>
    <row r="68" spans="1:18" s="11" customFormat="1" hidden="1" x14ac:dyDescent="0.45"/>
    <row r="69" spans="1:18" s="11" customFormat="1" hidden="1" x14ac:dyDescent="0.45"/>
    <row r="70" spans="1:18" s="11" customFormat="1" hidden="1" x14ac:dyDescent="0.45"/>
    <row r="71" spans="1:18" s="11" customFormat="1" hidden="1" x14ac:dyDescent="0.45">
      <c r="A71" s="9" t="str">
        <f>A19</f>
        <v>Vehnälese</v>
      </c>
      <c r="B71" s="10">
        <f>C19</f>
        <v>0.25</v>
      </c>
      <c r="C71" s="10">
        <f>B71/B$76</f>
        <v>0.15625</v>
      </c>
      <c r="D71" s="10">
        <f>C71-C19</f>
        <v>-9.375E-2</v>
      </c>
      <c r="E71" s="10">
        <f>IF(C71&gt;C19,C19,C71)</f>
        <v>0.15625</v>
      </c>
      <c r="F71" s="10">
        <f>C71-E71</f>
        <v>0</v>
      </c>
      <c r="G71" s="10">
        <f>IF(F71&gt;0,F71,0)</f>
        <v>0</v>
      </c>
      <c r="H71" s="11">
        <f>IF(E71&lt;B19,B19,E71)</f>
        <v>0.15625</v>
      </c>
      <c r="I71" s="10">
        <f>H71/H$76</f>
        <v>0.15625</v>
      </c>
      <c r="J71" s="10">
        <f>I71-C19</f>
        <v>-9.375E-2</v>
      </c>
      <c r="K71" s="10">
        <f>IF(I71&gt;C19,C19,I71)</f>
        <v>0.15625</v>
      </c>
      <c r="L71" s="10">
        <f>I71-K71</f>
        <v>0</v>
      </c>
      <c r="M71" s="10">
        <f>IF(L71&gt;0,L71,0)</f>
        <v>0</v>
      </c>
      <c r="N71" s="10">
        <f>IF(K71&lt;B19,B19,K71)</f>
        <v>0.15625</v>
      </c>
      <c r="O71" s="10">
        <f>ROUND(N71,2)</f>
        <v>0.16</v>
      </c>
    </row>
    <row r="72" spans="1:18" s="11" customFormat="1" hidden="1" x14ac:dyDescent="0.45">
      <c r="A72" s="9" t="str">
        <f>A20</f>
        <v>Kaura</v>
      </c>
      <c r="B72" s="10">
        <f>C20</f>
        <v>0.65</v>
      </c>
      <c r="C72" s="10">
        <f>B72/B$76</f>
        <v>0.40625</v>
      </c>
      <c r="D72" s="10">
        <f>C72-C20</f>
        <v>-0.24375000000000002</v>
      </c>
      <c r="E72" s="10">
        <f>IF((C72+G71)&gt;C20,C20,(C72+G71))</f>
        <v>0.40625</v>
      </c>
      <c r="F72" s="10">
        <f t="shared" ref="F72:F75" si="12">C72-E72</f>
        <v>0</v>
      </c>
      <c r="G72" s="10">
        <f t="shared" ref="G72:G75" si="13">IF(F72&gt;0,F72,0)</f>
        <v>0</v>
      </c>
      <c r="H72" s="11">
        <f>IF(E72&lt;B20,B20,E72)</f>
        <v>0.40625</v>
      </c>
      <c r="I72" s="10">
        <f>H72/H$76</f>
        <v>0.40625</v>
      </c>
      <c r="J72" s="10">
        <f>I72-C20</f>
        <v>-0.24375000000000002</v>
      </c>
      <c r="K72" s="10">
        <f>IF((I72+M71)&gt;C20,C20,(I72+M71))</f>
        <v>0.40625</v>
      </c>
      <c r="L72" s="10">
        <f t="shared" ref="L72:L75" si="14">I72-K72</f>
        <v>0</v>
      </c>
      <c r="M72" s="10">
        <f t="shared" ref="M72:M75" si="15">IF(L72&gt;0,L72,0)</f>
        <v>0</v>
      </c>
      <c r="N72" s="10">
        <f>IF(K72&lt;B20,B20,K72)</f>
        <v>0.40625</v>
      </c>
      <c r="O72" s="10">
        <f t="shared" ref="O72:O75" si="16">ROUND(N72,2)</f>
        <v>0.41</v>
      </c>
    </row>
    <row r="73" spans="1:18" s="11" customFormat="1" hidden="1" x14ac:dyDescent="0.45">
      <c r="A73" s="9" t="str">
        <f>A21</f>
        <v>Ohra r.</v>
      </c>
      <c r="B73" s="10">
        <f>C21</f>
        <v>0.65</v>
      </c>
      <c r="C73" s="10">
        <f>B73/B$76</f>
        <v>0.40625</v>
      </c>
      <c r="D73" s="10">
        <f>C73-C21</f>
        <v>-0.24375000000000002</v>
      </c>
      <c r="E73" s="10">
        <f>IF((C73+G72)&gt;C21,C21,(C73+G72))</f>
        <v>0.40625</v>
      </c>
      <c r="F73" s="10">
        <f t="shared" si="12"/>
        <v>0</v>
      </c>
      <c r="G73" s="10">
        <f t="shared" si="13"/>
        <v>0</v>
      </c>
      <c r="H73" s="11">
        <f>IF(E73&lt;B21,B21,E73)</f>
        <v>0.40625</v>
      </c>
      <c r="I73" s="10">
        <f>H73/H$76</f>
        <v>0.40625</v>
      </c>
      <c r="J73" s="10">
        <f>I73-C21</f>
        <v>-0.24375000000000002</v>
      </c>
      <c r="K73" s="10">
        <f>IF((I73+M72)&gt;C21,C21,(I73+M72))</f>
        <v>0.40625</v>
      </c>
      <c r="L73" s="10">
        <f t="shared" si="14"/>
        <v>0</v>
      </c>
      <c r="M73" s="10">
        <f t="shared" si="15"/>
        <v>0</v>
      </c>
      <c r="N73" s="10">
        <f>IF(K73&lt;B21,B21,K73)</f>
        <v>0.40625</v>
      </c>
      <c r="O73" s="10">
        <f t="shared" si="16"/>
        <v>0.41</v>
      </c>
    </row>
    <row r="74" spans="1:18" s="11" customFormat="1" hidden="1" x14ac:dyDescent="0.45">
      <c r="A74" s="9" t="str">
        <f>A22</f>
        <v>Herne</v>
      </c>
      <c r="B74" s="10">
        <f>C22</f>
        <v>0.05</v>
      </c>
      <c r="C74" s="10">
        <f>B74/B$76</f>
        <v>3.125E-2</v>
      </c>
      <c r="D74" s="10">
        <f>C74-C22</f>
        <v>-1.8750000000000003E-2</v>
      </c>
      <c r="E74" s="10">
        <f>IF((C74+G73)&gt;C22,C22,(C74+G73))</f>
        <v>3.125E-2</v>
      </c>
      <c r="F74" s="10">
        <f t="shared" si="12"/>
        <v>0</v>
      </c>
      <c r="G74" s="10">
        <f t="shared" si="13"/>
        <v>0</v>
      </c>
      <c r="H74" s="11">
        <f>IF(E74&lt;B22,B22,E74)</f>
        <v>3.125E-2</v>
      </c>
      <c r="I74" s="10">
        <f>H74/H$76</f>
        <v>3.125E-2</v>
      </c>
      <c r="J74" s="10">
        <f>I74-C22</f>
        <v>-1.8750000000000003E-2</v>
      </c>
      <c r="K74" s="10">
        <f>IF((I74+M73)&gt;C22,C22,(I74+M73))</f>
        <v>3.125E-2</v>
      </c>
      <c r="L74" s="10">
        <f t="shared" si="14"/>
        <v>0</v>
      </c>
      <c r="M74" s="10">
        <f t="shared" si="15"/>
        <v>0</v>
      </c>
      <c r="N74" s="10">
        <f>IF(K74&lt;B22,B22,K74)</f>
        <v>3.125E-2</v>
      </c>
      <c r="O74" s="10">
        <f t="shared" si="16"/>
        <v>0.03</v>
      </c>
    </row>
    <row r="75" spans="1:18" s="11" customFormat="1" hidden="1" x14ac:dyDescent="0.45">
      <c r="A75" s="9" t="str">
        <f>A23</f>
        <v>Vehnä</v>
      </c>
      <c r="B75" s="10">
        <f>C23</f>
        <v>0</v>
      </c>
      <c r="C75" s="10">
        <f>B75/B$76</f>
        <v>0</v>
      </c>
      <c r="D75" s="10">
        <f>C75-C23</f>
        <v>0</v>
      </c>
      <c r="E75" s="10">
        <f>IF((C75+G74)&gt;C23,C23,(C75+G74))</f>
        <v>0</v>
      </c>
      <c r="F75" s="10">
        <f t="shared" si="12"/>
        <v>0</v>
      </c>
      <c r="G75" s="10">
        <f t="shared" si="13"/>
        <v>0</v>
      </c>
      <c r="H75" s="11">
        <f>IF(E75&lt;B23,B23,E75)</f>
        <v>0</v>
      </c>
      <c r="I75" s="10">
        <f>H75/H$76</f>
        <v>0</v>
      </c>
      <c r="J75" s="10">
        <f>I75-C23</f>
        <v>0</v>
      </c>
      <c r="K75" s="10">
        <f>IF((I75+M74)&gt;C23,C23,(I75+M74))</f>
        <v>0</v>
      </c>
      <c r="L75" s="10">
        <f t="shared" si="14"/>
        <v>0</v>
      </c>
      <c r="M75" s="10">
        <f t="shared" si="15"/>
        <v>0</v>
      </c>
      <c r="N75" s="10">
        <f>IF(K75&lt;B23,B23,K75)</f>
        <v>0</v>
      </c>
      <c r="O75" s="10">
        <f t="shared" si="16"/>
        <v>0</v>
      </c>
    </row>
    <row r="76" spans="1:18" s="11" customFormat="1" hidden="1" x14ac:dyDescent="0.45">
      <c r="A76" s="9"/>
      <c r="B76" s="10">
        <f>SUM(B71:B75)</f>
        <v>1.6</v>
      </c>
      <c r="C76" s="10">
        <f>SUM(C71:C75)</f>
        <v>1</v>
      </c>
      <c r="E76" s="10">
        <f>SUM(E71:E75)</f>
        <v>1</v>
      </c>
      <c r="H76" s="10">
        <f>SUM(H71:H75)</f>
        <v>1</v>
      </c>
      <c r="I76" s="10">
        <f>SUM(I71:I75)</f>
        <v>1</v>
      </c>
      <c r="K76" s="10">
        <f>SUM(K71:K75)</f>
        <v>1</v>
      </c>
      <c r="N76" s="10">
        <f>SUM(N71:N75)</f>
        <v>1</v>
      </c>
      <c r="O76" s="10">
        <f>SUM(O71:O75)</f>
        <v>1.01</v>
      </c>
    </row>
    <row r="77" spans="1:18" s="14" customFormat="1" hidden="1" x14ac:dyDescent="0.45">
      <c r="A77" s="12"/>
      <c r="B77" s="13"/>
      <c r="C77" s="13"/>
      <c r="E77" s="13"/>
    </row>
    <row r="78" spans="1:18" s="11" customFormat="1" hidden="1" x14ac:dyDescent="0.45">
      <c r="A78" s="9"/>
      <c r="B78" s="10"/>
      <c r="C78" s="10" t="s">
        <v>76</v>
      </c>
      <c r="D78" s="11" t="s">
        <v>5</v>
      </c>
      <c r="E78" s="11" t="s">
        <v>77</v>
      </c>
      <c r="F78" s="11" t="s">
        <v>78</v>
      </c>
      <c r="G78" s="11" t="s">
        <v>79</v>
      </c>
      <c r="H78" s="11" t="s">
        <v>80</v>
      </c>
      <c r="I78" s="11" t="s">
        <v>10</v>
      </c>
      <c r="J78" s="11" t="s">
        <v>11</v>
      </c>
      <c r="K78" s="11" t="s">
        <v>12</v>
      </c>
      <c r="L78" s="11" t="s">
        <v>13</v>
      </c>
      <c r="M78" s="11" t="s">
        <v>14</v>
      </c>
      <c r="O78" s="11" t="s">
        <v>63</v>
      </c>
      <c r="P78" s="11" t="s">
        <v>62</v>
      </c>
      <c r="Q78" s="11" t="s">
        <v>61</v>
      </c>
      <c r="R78" s="11" t="s">
        <v>81</v>
      </c>
    </row>
    <row r="79" spans="1:18" s="11" customFormat="1" hidden="1" x14ac:dyDescent="0.45">
      <c r="A79" s="9" t="str">
        <f>A71</f>
        <v>Vehnälese</v>
      </c>
      <c r="B79" s="10"/>
      <c r="C79" s="24">
        <f>D37*(1-H19)</f>
        <v>3.1597471024616287E-3</v>
      </c>
      <c r="D79" s="11">
        <f>D37*H19</f>
        <v>2.11459998395509E-2</v>
      </c>
      <c r="E79" s="15">
        <f>D79/D$84</f>
        <v>2.4063536589146249E-2</v>
      </c>
      <c r="F79" s="11">
        <f t="shared" ref="F79:M83" si="17">$E79*I19</f>
        <v>4.0908012201548622</v>
      </c>
      <c r="G79" s="11">
        <f t="shared" si="17"/>
        <v>0.96254146356585002</v>
      </c>
      <c r="H79" s="11">
        <f t="shared" si="17"/>
        <v>2.213845366201455</v>
      </c>
      <c r="I79" s="11">
        <f t="shared" si="17"/>
        <v>10.106685367441425</v>
      </c>
      <c r="J79" s="11">
        <f t="shared" si="17"/>
        <v>3.7539117079068149</v>
      </c>
      <c r="K79" s="11">
        <f t="shared" si="17"/>
        <v>1.5400663417053599</v>
      </c>
      <c r="L79" s="11">
        <f t="shared" si="17"/>
        <v>5.2939780496121749</v>
      </c>
      <c r="M79" s="11">
        <f t="shared" si="17"/>
        <v>1.2994309758138975</v>
      </c>
      <c r="N79" s="11" t="s">
        <v>70</v>
      </c>
      <c r="O79" s="11">
        <f t="shared" ref="O79:O86" si="18">D49</f>
        <v>160.09666315197066</v>
      </c>
      <c r="P79" s="11">
        <f t="shared" ref="P79:P86" si="19">C49</f>
        <v>1</v>
      </c>
      <c r="Q79" s="11">
        <f t="shared" ref="Q79:Q86" si="20">B49</f>
        <v>170</v>
      </c>
      <c r="R79" s="11">
        <f>O79/Q79</f>
        <v>0.94174507736453328</v>
      </c>
    </row>
    <row r="80" spans="1:18" s="11" customFormat="1" hidden="1" x14ac:dyDescent="0.45">
      <c r="A80" s="9" t="str">
        <f t="shared" ref="A80:A83" si="21">A72</f>
        <v>Kaura</v>
      </c>
      <c r="B80" s="10"/>
      <c r="C80" s="24">
        <f>D38*(1-H20)</f>
        <v>5.1293151543608043E-2</v>
      </c>
      <c r="D80" s="11">
        <f>D38*H20</f>
        <v>0.37614977798645899</v>
      </c>
      <c r="E80" s="15">
        <f>D80/D$84</f>
        <v>0.42804757468345039</v>
      </c>
      <c r="F80" s="11">
        <f t="shared" si="17"/>
        <v>66.775421650618256</v>
      </c>
      <c r="G80" s="11">
        <f t="shared" si="17"/>
        <v>44.51694776707884</v>
      </c>
      <c r="H80" s="11">
        <f t="shared" si="17"/>
        <v>73.624182845553463</v>
      </c>
      <c r="I80" s="11">
        <f t="shared" si="17"/>
        <v>132.69474815186962</v>
      </c>
      <c r="J80" s="11">
        <f t="shared" si="17"/>
        <v>279.08701869360965</v>
      </c>
      <c r="K80" s="11">
        <f t="shared" si="17"/>
        <v>7.2768087696186567</v>
      </c>
      <c r="L80" s="11">
        <f t="shared" si="17"/>
        <v>286.36382746322829</v>
      </c>
      <c r="M80" s="11">
        <f t="shared" si="17"/>
        <v>8.5609514936690072</v>
      </c>
      <c r="N80" s="11" t="s">
        <v>71</v>
      </c>
      <c r="O80" s="11">
        <f t="shared" si="18"/>
        <v>64.900264121496903</v>
      </c>
      <c r="P80" s="11">
        <f t="shared" si="19"/>
        <v>1</v>
      </c>
      <c r="Q80" s="11">
        <f t="shared" si="20"/>
        <v>100</v>
      </c>
      <c r="R80" s="11">
        <f t="shared" ref="R80:R86" si="22">O80/Q80</f>
        <v>0.64900264121496898</v>
      </c>
    </row>
    <row r="81" spans="1:18" s="11" customFormat="1" hidden="1" x14ac:dyDescent="0.45">
      <c r="A81" s="9" t="str">
        <f t="shared" si="21"/>
        <v>Ohra r.</v>
      </c>
      <c r="B81" s="10"/>
      <c r="C81" s="24">
        <f>D39*(1-H21)</f>
        <v>5.9790158823350453E-2</v>
      </c>
      <c r="D81" s="11">
        <f>D39*H21</f>
        <v>0.43846116470457003</v>
      </c>
      <c r="E81" s="15">
        <f>D81/D$84</f>
        <v>0.49895613164878289</v>
      </c>
      <c r="F81" s="11">
        <f t="shared" si="17"/>
        <v>72.348639089073515</v>
      </c>
      <c r="G81" s="11">
        <f t="shared" si="17"/>
        <v>17.463464607707401</v>
      </c>
      <c r="H81" s="11">
        <f t="shared" si="17"/>
        <v>39.916490531902632</v>
      </c>
      <c r="I81" s="11">
        <f t="shared" si="17"/>
        <v>107.7745244361371</v>
      </c>
      <c r="J81" s="11">
        <f t="shared" si="17"/>
        <v>139.70771686165921</v>
      </c>
      <c r="K81" s="11">
        <f t="shared" si="17"/>
        <v>36.423797610361149</v>
      </c>
      <c r="L81" s="11">
        <f t="shared" si="17"/>
        <v>176.13151447202037</v>
      </c>
      <c r="M81" s="11">
        <f t="shared" si="17"/>
        <v>19.958245265951316</v>
      </c>
      <c r="N81" s="11" t="s">
        <v>72</v>
      </c>
      <c r="O81" s="11">
        <f t="shared" si="18"/>
        <v>115.90131701489341</v>
      </c>
      <c r="P81" s="11">
        <f t="shared" si="19"/>
        <v>0.25</v>
      </c>
      <c r="Q81" s="11">
        <f t="shared" si="20"/>
        <v>100</v>
      </c>
      <c r="R81" s="11">
        <f t="shared" si="22"/>
        <v>1.1590131701489341</v>
      </c>
    </row>
    <row r="82" spans="1:18" s="11" customFormat="1" hidden="1" x14ac:dyDescent="0.45">
      <c r="A82" s="9" t="str">
        <f t="shared" si="21"/>
        <v>Herne</v>
      </c>
      <c r="B82" s="10"/>
      <c r="C82" s="24">
        <f>D40*(1-H22)</f>
        <v>7.000000000000001E-3</v>
      </c>
      <c r="D82" s="11">
        <f>D40*H22</f>
        <v>4.3000000000000003E-2</v>
      </c>
      <c r="E82" s="15">
        <f>D82/D$84</f>
        <v>4.893275707862034E-2</v>
      </c>
      <c r="F82" s="11">
        <f t="shared" si="17"/>
        <v>16.881801192124016</v>
      </c>
      <c r="G82" s="11">
        <f t="shared" si="17"/>
        <v>1.9573102831448135</v>
      </c>
      <c r="H82" s="11">
        <f t="shared" si="17"/>
        <v>0.14679827123586103</v>
      </c>
      <c r="I82" s="11">
        <f t="shared" si="17"/>
        <v>6.3612584202206444</v>
      </c>
      <c r="J82" s="11">
        <f t="shared" si="17"/>
        <v>23.487723397737764</v>
      </c>
      <c r="K82" s="11">
        <f t="shared" si="17"/>
        <v>2.6913016393241187</v>
      </c>
      <c r="L82" s="11">
        <f t="shared" si="17"/>
        <v>26.17902503706188</v>
      </c>
      <c r="M82" s="11">
        <f t="shared" si="17"/>
        <v>1.5169154694372304</v>
      </c>
      <c r="N82" s="11" t="s">
        <v>73</v>
      </c>
      <c r="O82" s="11">
        <f t="shared" si="18"/>
        <v>256.93721637566875</v>
      </c>
      <c r="P82" s="11">
        <f t="shared" si="19"/>
        <v>0.25</v>
      </c>
      <c r="Q82" s="11">
        <f t="shared" si="20"/>
        <v>200</v>
      </c>
      <c r="R82" s="11">
        <f t="shared" si="22"/>
        <v>1.2846860818783439</v>
      </c>
    </row>
    <row r="83" spans="1:18" s="11" customFormat="1" hidden="1" x14ac:dyDescent="0.45">
      <c r="A83" s="9" t="str">
        <f t="shared" si="21"/>
        <v>Vehnä</v>
      </c>
      <c r="B83" s="10"/>
      <c r="C83" s="24">
        <f>D41*(1-H23)</f>
        <v>0</v>
      </c>
      <c r="D83" s="11">
        <f>D41*H23</f>
        <v>0</v>
      </c>
      <c r="E83" s="15">
        <f>D83/D$84</f>
        <v>0</v>
      </c>
      <c r="F83" s="11">
        <f t="shared" si="17"/>
        <v>0</v>
      </c>
      <c r="G83" s="11">
        <f t="shared" si="17"/>
        <v>0</v>
      </c>
      <c r="H83" s="11">
        <f t="shared" si="17"/>
        <v>0</v>
      </c>
      <c r="I83" s="11">
        <f t="shared" si="17"/>
        <v>0</v>
      </c>
      <c r="J83" s="11">
        <f t="shared" si="17"/>
        <v>0</v>
      </c>
      <c r="K83" s="11">
        <f t="shared" si="17"/>
        <v>0</v>
      </c>
      <c r="L83" s="11">
        <f t="shared" si="17"/>
        <v>0</v>
      </c>
      <c r="M83" s="11">
        <f t="shared" si="17"/>
        <v>0</v>
      </c>
      <c r="N83" s="11" t="s">
        <v>11</v>
      </c>
      <c r="O83" s="11">
        <f t="shared" si="18"/>
        <v>446.03637066091341</v>
      </c>
      <c r="P83" s="11">
        <f t="shared" si="19"/>
        <v>0.25</v>
      </c>
      <c r="Q83" s="11">
        <f t="shared" si="20"/>
        <v>400</v>
      </c>
      <c r="R83" s="11">
        <f t="shared" si="22"/>
        <v>1.1150909266522835</v>
      </c>
    </row>
    <row r="84" spans="1:18" s="11" customFormat="1" hidden="1" x14ac:dyDescent="0.45">
      <c r="A84" s="9"/>
      <c r="B84" s="10"/>
      <c r="C84" s="11">
        <f>SUM(C79:C83)</f>
        <v>0.12124305746942013</v>
      </c>
      <c r="D84" s="11">
        <f>SUM(D79:D83)</f>
        <v>0.87875694253058001</v>
      </c>
      <c r="E84" s="11">
        <f>SUM(E79:E83)</f>
        <v>0.99999999999999989</v>
      </c>
      <c r="F84" s="11">
        <f>SUM(F79:F83)</f>
        <v>160.09666315197066</v>
      </c>
      <c r="G84" s="11">
        <f t="shared" ref="G84:M84" si="23">SUM(G79:G83)</f>
        <v>64.900264121496903</v>
      </c>
      <c r="H84" s="11">
        <f t="shared" si="23"/>
        <v>115.90131701489341</v>
      </c>
      <c r="I84" s="11">
        <f t="shared" si="23"/>
        <v>256.93721637566875</v>
      </c>
      <c r="J84" s="11">
        <f t="shared" si="23"/>
        <v>446.03637066091341</v>
      </c>
      <c r="K84" s="11">
        <f t="shared" si="23"/>
        <v>47.931974361009281</v>
      </c>
      <c r="L84" s="11">
        <f t="shared" si="23"/>
        <v>493.96834502192274</v>
      </c>
      <c r="M84" s="11">
        <f t="shared" si="23"/>
        <v>31.335543204871449</v>
      </c>
      <c r="N84" s="11" t="s">
        <v>12</v>
      </c>
      <c r="O84" s="11">
        <f t="shared" si="18"/>
        <v>47.931974361009281</v>
      </c>
      <c r="P84" s="11">
        <f t="shared" si="19"/>
        <v>0.25</v>
      </c>
      <c r="Q84" s="11">
        <f t="shared" si="20"/>
        <v>100</v>
      </c>
      <c r="R84" s="11">
        <f t="shared" si="22"/>
        <v>0.47931974361009283</v>
      </c>
    </row>
    <row r="85" spans="1:18" s="11" customFormat="1" hidden="1" x14ac:dyDescent="0.45">
      <c r="A85" s="9"/>
      <c r="B85" s="10"/>
      <c r="C85" s="10"/>
      <c r="E85" s="10"/>
      <c r="N85" s="11" t="s">
        <v>13</v>
      </c>
      <c r="O85" s="11">
        <f t="shared" si="18"/>
        <v>493.96834502192274</v>
      </c>
      <c r="P85" s="11">
        <f t="shared" si="19"/>
        <v>0.25</v>
      </c>
      <c r="Q85" s="11">
        <f t="shared" si="20"/>
        <v>500</v>
      </c>
      <c r="R85" s="11">
        <f t="shared" si="22"/>
        <v>0.98793669004384543</v>
      </c>
    </row>
    <row r="86" spans="1:18" s="11" customFormat="1" hidden="1" x14ac:dyDescent="0.45">
      <c r="A86" s="9"/>
      <c r="C86" s="11" t="s">
        <v>82</v>
      </c>
      <c r="D86" s="11">
        <f>D84/(1-B25)</f>
        <v>2.5107341215159429</v>
      </c>
      <c r="E86" s="11">
        <f>E84/(1-B25)</f>
        <v>2.8571428571428572</v>
      </c>
      <c r="N86" s="11" t="s">
        <v>83</v>
      </c>
      <c r="O86" s="11">
        <f t="shared" si="18"/>
        <v>31.335543204871449</v>
      </c>
      <c r="P86" s="11">
        <f t="shared" si="19"/>
        <v>0.5</v>
      </c>
      <c r="Q86" s="11">
        <f t="shared" si="20"/>
        <v>55</v>
      </c>
      <c r="R86" s="11">
        <f t="shared" si="22"/>
        <v>0.56973714917948093</v>
      </c>
    </row>
    <row r="87" spans="1:18" s="11" customFormat="1" hidden="1" x14ac:dyDescent="0.45">
      <c r="A87" s="9"/>
      <c r="C87" s="11" t="s">
        <v>84</v>
      </c>
      <c r="D87" s="11">
        <f>D86-D84</f>
        <v>1.631977178985363</v>
      </c>
      <c r="E87" s="11">
        <f>E86-E84</f>
        <v>1.8571428571428572</v>
      </c>
      <c r="N87" s="14"/>
      <c r="O87" s="14"/>
      <c r="P87" s="14"/>
      <c r="Q87" s="14"/>
      <c r="R87" s="14"/>
    </row>
    <row r="88" spans="1:18" s="14" customFormat="1" hidden="1" x14ac:dyDescent="0.45">
      <c r="A88" s="12"/>
      <c r="C88" s="14" t="s">
        <v>85</v>
      </c>
      <c r="D88" s="14">
        <f>D87-C84</f>
        <v>1.5107341215159429</v>
      </c>
    </row>
    <row r="89" spans="1:18" s="14" customFormat="1" hidden="1" x14ac:dyDescent="0.45">
      <c r="A89" s="12"/>
    </row>
    <row r="90" spans="1:18" s="14" customFormat="1" hidden="1" x14ac:dyDescent="0.45">
      <c r="A90" s="12"/>
    </row>
    <row r="91" spans="1:18" s="14" customFormat="1" hidden="1" x14ac:dyDescent="0.45">
      <c r="A91" s="12"/>
    </row>
    <row r="92" spans="1:18" s="14" customFormat="1" hidden="1" x14ac:dyDescent="0.45"/>
    <row r="93" spans="1:18" s="14" customFormat="1" hidden="1" x14ac:dyDescent="0.45"/>
    <row r="94" spans="1:18" s="14" customFormat="1" hidden="1" x14ac:dyDescent="0.45"/>
    <row r="95" spans="1:18" s="14" customFormat="1" hidden="1" x14ac:dyDescent="0.45"/>
    <row r="96" spans="1:18" s="14" customFormat="1" hidden="1" x14ac:dyDescent="0.45"/>
    <row r="97" s="14" customFormat="1" hidden="1" x14ac:dyDescent="0.45"/>
    <row r="98" s="14" customFormat="1" hidden="1" x14ac:dyDescent="0.45"/>
    <row r="99" s="14" customFormat="1" hidden="1" x14ac:dyDescent="0.45"/>
    <row r="100" s="14" customFormat="1" hidden="1" x14ac:dyDescent="0.45"/>
    <row r="101" s="14" customFormat="1" hidden="1" x14ac:dyDescent="0.45"/>
    <row r="102" s="14" customFormat="1" hidden="1" x14ac:dyDescent="0.45"/>
  </sheetData>
  <conditionalFormatting sqref="C24">
    <cfRule type="cellIs" dxfId="3" priority="4" operator="greaterThanOrEqual">
      <formula>1</formula>
    </cfRule>
    <cfRule type="cellIs" dxfId="2" priority="5" operator="lessThan">
      <formula>1</formula>
    </cfRule>
  </conditionalFormatting>
  <conditionalFormatting sqref="F49:F56">
    <cfRule type="colorScale" priority="1">
      <colorScale>
        <cfvo type="min"/>
        <cfvo type="max"/>
        <color rgb="FFFCFCFF"/>
        <color rgb="FFF8696B"/>
      </colorScale>
    </cfRule>
  </conditionalFormatting>
  <conditionalFormatting sqref="G33">
    <cfRule type="cellIs" dxfId="1" priority="2" operator="equal">
      <formula>1</formula>
    </cfRule>
    <cfRule type="cellIs" dxfId="0" priority="3" operator="lessThan">
      <formula>1</formula>
    </cfRule>
  </conditionalFormatting>
  <hyperlinks>
    <hyperlink ref="U27" r:id="rId1" tooltip="Persistent link using digital object identifier" xr:uid="{9BB62A2A-8592-4CD1-8C1B-87E425B9F569}"/>
    <hyperlink ref="A7" r:id="rId2" xr:uid="{55463379-0720-4E23-9EA2-53C1F35F784D}"/>
  </hyperlinks>
  <pageMargins left="0.7" right="0.7" top="0.75" bottom="0.75" header="0.3" footer="0.3"/>
  <pageSetup paperSize="9" orientation="portrait" horizontalDpi="360" verticalDpi="360" r:id="rId3"/>
  <drawing r:id="rId4"/>
  <legacy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9960F-F08D-409F-8194-D2EE719617A2}">
  <dimension ref="A1:Q106"/>
  <sheetViews>
    <sheetView topLeftCell="D1" workbookViewId="0">
      <selection activeCell="M1" sqref="M1"/>
    </sheetView>
  </sheetViews>
  <sheetFormatPr defaultRowHeight="16.5" x14ac:dyDescent="0.45"/>
  <cols>
    <col min="1" max="1" width="27.5" customWidth="1"/>
    <col min="3" max="3" width="10.1640625" customWidth="1"/>
    <col min="4" max="4" width="9.1640625" customWidth="1"/>
  </cols>
  <sheetData>
    <row r="1" spans="1:17" x14ac:dyDescent="0.45">
      <c r="A1" s="89" t="s">
        <v>86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Q1" t="s">
        <v>87</v>
      </c>
    </row>
    <row r="2" spans="1:17" x14ac:dyDescent="0.45">
      <c r="A2" s="89" t="s">
        <v>88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7" x14ac:dyDescent="0.45">
      <c r="A3" s="89" t="s">
        <v>89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7" ht="20.5" thickBot="1" x14ac:dyDescent="0.6">
      <c r="A4" s="49" t="s">
        <v>90</v>
      </c>
      <c r="B4" s="47" t="s">
        <v>91</v>
      </c>
      <c r="C4" s="47" t="s">
        <v>92</v>
      </c>
      <c r="D4" s="47" t="s">
        <v>93</v>
      </c>
      <c r="E4" s="47" t="s">
        <v>94</v>
      </c>
      <c r="F4" s="47" t="s">
        <v>95</v>
      </c>
      <c r="G4" s="47" t="s">
        <v>96</v>
      </c>
      <c r="H4" s="47" t="s">
        <v>31</v>
      </c>
      <c r="I4" s="47" t="s">
        <v>32</v>
      </c>
      <c r="J4" s="47" t="s">
        <v>97</v>
      </c>
      <c r="K4" s="47"/>
      <c r="L4" s="47"/>
      <c r="M4" s="47"/>
      <c r="N4" s="47"/>
      <c r="O4" s="47"/>
    </row>
    <row r="5" spans="1:17" ht="17" thickTop="1" x14ac:dyDescent="0.45">
      <c r="A5" s="47" t="s">
        <v>98</v>
      </c>
      <c r="B5" s="17">
        <v>10</v>
      </c>
      <c r="C5" s="17">
        <v>10</v>
      </c>
      <c r="D5" s="17">
        <v>10</v>
      </c>
      <c r="E5" s="17">
        <v>10</v>
      </c>
      <c r="F5" s="17">
        <v>10</v>
      </c>
      <c r="G5" s="17">
        <v>10</v>
      </c>
      <c r="H5" s="84">
        <f>MIN(B5:G5)</f>
        <v>10</v>
      </c>
      <c r="I5" s="84">
        <f>MAX(B5:G5)</f>
        <v>10</v>
      </c>
      <c r="J5" s="84">
        <f t="shared" ref="J5:J12" si="0">AVERAGE(B5:G5)</f>
        <v>10</v>
      </c>
      <c r="K5" s="47"/>
      <c r="L5" s="71" t="s">
        <v>99</v>
      </c>
      <c r="M5" s="71"/>
      <c r="N5" s="47"/>
      <c r="O5" s="47"/>
    </row>
    <row r="6" spans="1:17" x14ac:dyDescent="0.45">
      <c r="A6" s="47" t="s">
        <v>100</v>
      </c>
      <c r="B6" s="83">
        <v>0.65</v>
      </c>
      <c r="C6" s="83">
        <v>0.65</v>
      </c>
      <c r="D6" s="83">
        <v>0.65</v>
      </c>
      <c r="E6" s="83">
        <v>0.65</v>
      </c>
      <c r="F6" s="83">
        <v>0.65</v>
      </c>
      <c r="G6" s="83">
        <v>0.65</v>
      </c>
      <c r="H6" s="82">
        <f t="shared" ref="H6:H12" si="1">MIN(B6:G6)</f>
        <v>0.65</v>
      </c>
      <c r="I6" s="82">
        <f t="shared" ref="I6:I12" si="2">MAX(B6:G6)</f>
        <v>0.65</v>
      </c>
      <c r="J6" s="82">
        <f t="shared" si="0"/>
        <v>0.65</v>
      </c>
      <c r="K6" s="47"/>
      <c r="L6" s="91">
        <f>J7*(1-J8)</f>
        <v>0.66192000000000006</v>
      </c>
      <c r="M6" s="71" t="s">
        <v>101</v>
      </c>
      <c r="N6" s="47"/>
      <c r="O6" s="47"/>
    </row>
    <row r="7" spans="1:17" x14ac:dyDescent="0.45">
      <c r="A7" s="47" t="s">
        <v>102</v>
      </c>
      <c r="B7" s="17">
        <v>1.8</v>
      </c>
      <c r="C7" s="17">
        <v>1.6</v>
      </c>
      <c r="D7" s="17">
        <v>2</v>
      </c>
      <c r="E7" s="17">
        <v>1.7</v>
      </c>
      <c r="F7" s="17">
        <v>1.3</v>
      </c>
      <c r="G7" s="17"/>
      <c r="H7" s="84">
        <f t="shared" si="1"/>
        <v>1.3</v>
      </c>
      <c r="I7" s="84">
        <f t="shared" si="2"/>
        <v>2</v>
      </c>
      <c r="J7" s="84">
        <f t="shared" si="0"/>
        <v>1.6800000000000002</v>
      </c>
      <c r="K7" s="47"/>
      <c r="L7" s="92" t="s">
        <v>103</v>
      </c>
      <c r="M7" s="71"/>
      <c r="N7" s="47"/>
      <c r="O7" s="47"/>
    </row>
    <row r="8" spans="1:17" x14ac:dyDescent="0.45">
      <c r="A8" s="47" t="s">
        <v>104</v>
      </c>
      <c r="B8" s="83">
        <v>0.61</v>
      </c>
      <c r="C8" s="83">
        <v>0.56999999999999995</v>
      </c>
      <c r="D8" s="83">
        <v>0.66</v>
      </c>
      <c r="E8" s="83">
        <v>0.59</v>
      </c>
      <c r="F8" s="83">
        <v>0.6</v>
      </c>
      <c r="G8" s="83"/>
      <c r="H8" s="82">
        <f t="shared" si="1"/>
        <v>0.56999999999999995</v>
      </c>
      <c r="I8" s="82">
        <f t="shared" si="2"/>
        <v>0.66</v>
      </c>
      <c r="J8" s="82">
        <f t="shared" si="0"/>
        <v>0.60599999999999998</v>
      </c>
      <c r="K8" s="47"/>
      <c r="L8" s="92">
        <f>L6/0.9</f>
        <v>0.73546666666666671</v>
      </c>
      <c r="M8" s="71" t="s">
        <v>101</v>
      </c>
      <c r="N8" s="47"/>
      <c r="O8" s="47"/>
    </row>
    <row r="9" spans="1:17" x14ac:dyDescent="0.45">
      <c r="A9" s="47" t="s">
        <v>105</v>
      </c>
      <c r="B9" s="17">
        <v>2</v>
      </c>
      <c r="C9" s="17">
        <v>2.1</v>
      </c>
      <c r="D9" s="17">
        <v>1.6</v>
      </c>
      <c r="E9" s="17">
        <v>1.8</v>
      </c>
      <c r="F9" s="17">
        <v>1.8</v>
      </c>
      <c r="G9" s="17">
        <v>1.3</v>
      </c>
      <c r="H9" s="84">
        <f t="shared" si="1"/>
        <v>1.3</v>
      </c>
      <c r="I9" s="84">
        <f t="shared" si="2"/>
        <v>2.1</v>
      </c>
      <c r="J9" s="84">
        <f t="shared" si="0"/>
        <v>1.7666666666666666</v>
      </c>
      <c r="K9" s="47"/>
      <c r="L9" s="71" t="s">
        <v>106</v>
      </c>
      <c r="M9" s="71"/>
      <c r="N9" s="47"/>
      <c r="O9" s="47"/>
    </row>
    <row r="10" spans="1:17" x14ac:dyDescent="0.45">
      <c r="A10" s="47" t="s">
        <v>107</v>
      </c>
      <c r="B10" s="83">
        <v>0.36</v>
      </c>
      <c r="C10" s="83">
        <v>0.37</v>
      </c>
      <c r="D10" s="83">
        <v>0.34</v>
      </c>
      <c r="E10" s="83">
        <v>0.33</v>
      </c>
      <c r="F10" s="83">
        <v>0.39</v>
      </c>
      <c r="G10" s="83">
        <v>0.37</v>
      </c>
      <c r="H10" s="82">
        <f t="shared" si="1"/>
        <v>0.33</v>
      </c>
      <c r="I10" s="82">
        <f t="shared" si="2"/>
        <v>0.39</v>
      </c>
      <c r="J10" s="82">
        <f t="shared" si="0"/>
        <v>0.36000000000000004</v>
      </c>
      <c r="K10" s="47"/>
      <c r="L10" s="92">
        <f>J9*(1-J10)</f>
        <v>1.1306666666666665</v>
      </c>
      <c r="M10" s="71" t="s">
        <v>101</v>
      </c>
      <c r="N10" s="47"/>
      <c r="O10" s="47"/>
    </row>
    <row r="11" spans="1:17" x14ac:dyDescent="0.45">
      <c r="A11" s="47" t="s">
        <v>108</v>
      </c>
      <c r="B11" s="82">
        <f t="shared" ref="B11:F11" si="3">IF(OR(ISBLANK(B6),ISBLANK(B7),ISBLANK(B8),ISBLANK(B5)),"",(B7*(1-B8))/(B5*(1-B6)))</f>
        <v>0.20057142857142859</v>
      </c>
      <c r="C11" s="82">
        <f t="shared" si="3"/>
        <v>0.19657142857142862</v>
      </c>
      <c r="D11" s="82">
        <f t="shared" si="3"/>
        <v>0.19428571428571426</v>
      </c>
      <c r="E11" s="82">
        <f t="shared" si="3"/>
        <v>0.19914285714285715</v>
      </c>
      <c r="F11" s="82">
        <f t="shared" si="3"/>
        <v>0.14857142857142858</v>
      </c>
      <c r="G11" s="82" t="str">
        <f>IF(OR(ISBLANK(G6),ISBLANK(G7),ISBLANK(G8),ISBLANK(G5)),"",(G7*(1-G8))/(G5*(1-G6)))</f>
        <v/>
      </c>
      <c r="H11" s="82">
        <f t="shared" si="1"/>
        <v>0.14857142857142858</v>
      </c>
      <c r="I11" s="82">
        <f t="shared" si="2"/>
        <v>0.20057142857142859</v>
      </c>
      <c r="J11" s="25">
        <f t="shared" si="0"/>
        <v>0.18782857142857146</v>
      </c>
      <c r="K11" s="47"/>
      <c r="L11" s="92" t="s">
        <v>103</v>
      </c>
      <c r="M11" s="71"/>
      <c r="N11" s="47"/>
      <c r="O11" s="47"/>
    </row>
    <row r="12" spans="1:17" x14ac:dyDescent="0.45">
      <c r="A12" s="47" t="s">
        <v>109</v>
      </c>
      <c r="B12" s="82">
        <f>IF(OR(ISBLANK(B6),ISBLANK(B9),ISBLANK(B10),ISBLANK(B5)),"",(((B5*(1-B6))-(B9*(1-B10)))/(B5*(1-B6))))</f>
        <v>0.63428571428571423</v>
      </c>
      <c r="C12" s="82">
        <f t="shared" ref="C12:G12" si="4">IF(OR(ISBLANK(C6),ISBLANK(C9),ISBLANK(C10),ISBLANK(C5)),"",(((C5*(1-C6))-(C9*(1-C10)))/(C5*(1-C6))))</f>
        <v>0.62199999999999989</v>
      </c>
      <c r="D12" s="82">
        <f t="shared" si="4"/>
        <v>0.69828571428571429</v>
      </c>
      <c r="E12" s="82">
        <f t="shared" si="4"/>
        <v>0.65542857142857147</v>
      </c>
      <c r="F12" s="82">
        <f t="shared" si="4"/>
        <v>0.68628571428571428</v>
      </c>
      <c r="G12" s="82">
        <f t="shared" si="4"/>
        <v>0.76600000000000001</v>
      </c>
      <c r="H12" s="82">
        <f t="shared" si="1"/>
        <v>0.62199999999999989</v>
      </c>
      <c r="I12" s="82">
        <f t="shared" si="2"/>
        <v>0.76600000000000001</v>
      </c>
      <c r="J12" s="25">
        <f t="shared" si="0"/>
        <v>0.67704761904761901</v>
      </c>
      <c r="K12" s="47"/>
      <c r="L12" s="92">
        <f>L10/0.9</f>
        <v>1.256296296296296</v>
      </c>
      <c r="M12" s="71" t="s">
        <v>101</v>
      </c>
      <c r="N12" s="47"/>
      <c r="O12" s="47"/>
    </row>
    <row r="13" spans="1:17" x14ac:dyDescent="0.4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</row>
    <row r="14" spans="1:17" x14ac:dyDescent="0.45">
      <c r="A14" s="47"/>
      <c r="B14" s="47"/>
      <c r="C14" s="47"/>
      <c r="D14" s="47"/>
      <c r="E14" s="47"/>
      <c r="F14" s="47" t="s">
        <v>110</v>
      </c>
      <c r="G14" s="47"/>
      <c r="H14" s="47"/>
      <c r="I14" s="47"/>
      <c r="J14" s="47"/>
      <c r="K14" s="47"/>
      <c r="L14" s="47"/>
      <c r="M14" s="47"/>
      <c r="N14" s="47"/>
      <c r="O14" s="47"/>
    </row>
    <row r="15" spans="1:17" x14ac:dyDescent="0.45">
      <c r="A15" s="47"/>
      <c r="B15" s="47"/>
      <c r="C15" s="47"/>
      <c r="D15" s="47"/>
      <c r="E15" s="47"/>
      <c r="F15" s="47" t="s">
        <v>111</v>
      </c>
      <c r="G15" s="47"/>
      <c r="H15" s="47"/>
      <c r="I15" s="47"/>
      <c r="J15" s="47"/>
      <c r="K15" s="47"/>
      <c r="L15" s="47"/>
      <c r="M15" s="47"/>
      <c r="N15" s="47"/>
      <c r="O15" s="47"/>
    </row>
    <row r="16" spans="1:17" x14ac:dyDescent="0.45">
      <c r="A16" s="47"/>
      <c r="B16" s="47"/>
      <c r="C16" s="47"/>
      <c r="D16" s="47"/>
      <c r="E16" s="47"/>
      <c r="F16" s="47" t="s">
        <v>112</v>
      </c>
      <c r="G16" s="47"/>
      <c r="H16" s="47"/>
      <c r="I16" s="47"/>
      <c r="J16" s="47"/>
      <c r="K16" s="47"/>
      <c r="L16" s="47"/>
      <c r="M16" s="47"/>
      <c r="N16" s="47"/>
      <c r="O16" s="47"/>
    </row>
    <row r="17" spans="1:15" x14ac:dyDescent="0.45">
      <c r="A17" s="47"/>
      <c r="B17" s="47"/>
      <c r="C17" s="47"/>
      <c r="D17" s="47"/>
      <c r="E17" s="47"/>
      <c r="F17" s="47" t="s">
        <v>113</v>
      </c>
      <c r="G17" s="47"/>
      <c r="H17" s="47"/>
      <c r="I17" s="47"/>
      <c r="J17" s="47"/>
      <c r="K17" s="47"/>
      <c r="L17" s="47"/>
      <c r="M17" s="47"/>
      <c r="N17" s="47"/>
      <c r="O17" s="47"/>
    </row>
    <row r="18" spans="1:15" ht="20.5" thickBot="1" x14ac:dyDescent="0.6">
      <c r="A18" s="49" t="s">
        <v>114</v>
      </c>
      <c r="B18" s="47"/>
      <c r="C18" s="47"/>
      <c r="D18" s="47"/>
      <c r="E18" s="47"/>
      <c r="F18" s="71" t="s">
        <v>115</v>
      </c>
      <c r="G18" s="47"/>
      <c r="H18" s="47"/>
      <c r="I18" s="47"/>
      <c r="J18" s="47"/>
      <c r="K18" s="47"/>
      <c r="L18" s="47"/>
      <c r="M18" s="47"/>
      <c r="N18" s="47"/>
      <c r="O18" s="47"/>
    </row>
    <row r="19" spans="1:15" ht="17" thickTop="1" x14ac:dyDescent="0.45">
      <c r="A19" s="46" t="s">
        <v>116</v>
      </c>
      <c r="B19" s="47"/>
      <c r="C19" s="47"/>
      <c r="D19" s="47"/>
      <c r="E19" s="47"/>
      <c r="F19" s="47" t="s">
        <v>117</v>
      </c>
      <c r="G19" s="47"/>
      <c r="H19" s="47"/>
      <c r="I19" s="47"/>
      <c r="J19" s="47"/>
      <c r="K19" s="47"/>
      <c r="L19" s="47"/>
      <c r="M19" s="47"/>
      <c r="N19" s="47"/>
      <c r="O19" s="47"/>
    </row>
    <row r="20" spans="1:15" x14ac:dyDescent="0.45">
      <c r="A20" s="46"/>
      <c r="B20" s="47"/>
      <c r="C20" s="48" t="s">
        <v>118</v>
      </c>
      <c r="D20" s="48"/>
      <c r="E20" s="47"/>
      <c r="F20" s="47" t="s">
        <v>119</v>
      </c>
      <c r="G20" s="47"/>
      <c r="H20" s="47"/>
      <c r="I20" s="47"/>
      <c r="J20" s="47"/>
      <c r="K20" s="47"/>
      <c r="L20" s="47"/>
      <c r="M20" s="47"/>
      <c r="N20" s="47"/>
      <c r="O20" s="47"/>
    </row>
    <row r="21" spans="1:15" x14ac:dyDescent="0.45">
      <c r="A21" s="47" t="str">
        <f>Resepti!A48</f>
        <v>Koostumus</v>
      </c>
      <c r="B21" s="47" t="s">
        <v>66</v>
      </c>
      <c r="C21" s="47" t="s">
        <v>31</v>
      </c>
      <c r="D21" s="47" t="s">
        <v>32</v>
      </c>
      <c r="E21" s="47"/>
      <c r="F21" s="47" t="s">
        <v>120</v>
      </c>
      <c r="G21" s="47"/>
      <c r="H21" s="47"/>
      <c r="I21" s="47"/>
      <c r="J21" s="47"/>
      <c r="K21" s="47"/>
      <c r="L21" s="47"/>
      <c r="M21" s="47"/>
      <c r="N21" s="47"/>
      <c r="O21" s="47"/>
    </row>
    <row r="22" spans="1:15" x14ac:dyDescent="0.45">
      <c r="A22" s="47" t="str">
        <f>Resepti!A49</f>
        <v>Valkuainen</v>
      </c>
      <c r="B22" s="47">
        <f>Resepti!D49</f>
        <v>160.09666315197066</v>
      </c>
      <c r="C22" s="68">
        <v>0</v>
      </c>
      <c r="D22" s="68">
        <v>0.8</v>
      </c>
      <c r="E22" s="47"/>
      <c r="F22" s="47" t="s">
        <v>121</v>
      </c>
      <c r="G22" s="47"/>
      <c r="H22" s="47"/>
      <c r="I22" s="47"/>
      <c r="J22" s="47"/>
      <c r="K22" s="47"/>
      <c r="L22" s="47"/>
      <c r="M22" s="47"/>
      <c r="N22" s="47"/>
      <c r="O22" s="47"/>
    </row>
    <row r="23" spans="1:15" x14ac:dyDescent="0.45">
      <c r="A23" s="47" t="str">
        <f>Resepti!A50</f>
        <v>Rasva</v>
      </c>
      <c r="B23" s="47">
        <f>Resepti!D50</f>
        <v>64.900264121496903</v>
      </c>
      <c r="C23" s="68">
        <v>0.05</v>
      </c>
      <c r="D23" s="68">
        <v>0.95</v>
      </c>
      <c r="E23" s="47"/>
      <c r="F23" s="47"/>
      <c r="G23" s="47" t="s">
        <v>31</v>
      </c>
      <c r="H23" s="47" t="s">
        <v>32</v>
      </c>
      <c r="I23" s="47"/>
      <c r="J23" s="47"/>
      <c r="K23" s="47"/>
      <c r="L23" s="47"/>
      <c r="M23" s="47"/>
      <c r="N23" s="47"/>
      <c r="O23" s="47"/>
    </row>
    <row r="24" spans="1:15" x14ac:dyDescent="0.45">
      <c r="A24" s="47" t="str">
        <f>Resepti!A51</f>
        <v>Rkuitu</v>
      </c>
      <c r="B24" s="47">
        <f>Resepti!D51</f>
        <v>115.90131701489341</v>
      </c>
      <c r="C24" s="68">
        <v>0.1</v>
      </c>
      <c r="D24" s="68">
        <v>0.5</v>
      </c>
      <c r="E24" s="47"/>
      <c r="F24" s="47" t="s">
        <v>118</v>
      </c>
      <c r="G24" s="85">
        <f>1-(C48/B48)</f>
        <v>0.10184062765462487</v>
      </c>
      <c r="H24" s="85">
        <f>1-(D48/B48)</f>
        <v>0.74882307334382658</v>
      </c>
      <c r="I24" s="47"/>
      <c r="J24" s="47"/>
      <c r="K24" s="47"/>
      <c r="L24" s="47"/>
      <c r="M24" s="47"/>
      <c r="N24" s="47"/>
      <c r="O24" s="47"/>
    </row>
    <row r="25" spans="1:15" x14ac:dyDescent="0.45">
      <c r="A25" s="47" t="str">
        <f>Resepti!A52</f>
        <v>NDF</v>
      </c>
      <c r="B25" s="47">
        <f>IF(Resepti!D49+Resepti!D50+Resepti!D52+Resepti!D55+Resepti!D56&gt;1000, Resepti!D52-1*((Resepti!D49+Resepti!D50+Resepti!D52+Resepti!D55+Resepti!D56)-1000), Resepti!D52)</f>
        <v>249.69918449973829</v>
      </c>
      <c r="C25" s="68">
        <v>0.2</v>
      </c>
      <c r="D25" s="68">
        <v>0.2</v>
      </c>
      <c r="E25" s="47"/>
      <c r="F25" s="47" t="s">
        <v>122</v>
      </c>
      <c r="G25" s="47"/>
      <c r="H25" s="47"/>
      <c r="I25" s="47"/>
      <c r="J25" s="47"/>
      <c r="K25" s="47"/>
      <c r="L25" s="47"/>
      <c r="M25" s="47"/>
      <c r="N25" s="47"/>
      <c r="O25" s="47"/>
    </row>
    <row r="26" spans="1:15" x14ac:dyDescent="0.45">
      <c r="A26" s="47" t="str">
        <f>Resepti!A53</f>
        <v>Tärkkelys</v>
      </c>
      <c r="B26" s="47">
        <f>IF(Resepti!D49+Resepti!D50+Resepti!D52+Resepti!D55+Resepti!D56&gt;1000, Resepti!D53-1*((Resepti!D49+Resepti!D50+Resepti!D52+Resepti!D55+Resepti!D56)-1000), Resepti!D53)</f>
        <v>438.79833878498295</v>
      </c>
      <c r="C26" s="68">
        <v>0</v>
      </c>
      <c r="D26" s="68">
        <v>1</v>
      </c>
      <c r="E26" s="47"/>
      <c r="F26" s="47" t="s">
        <v>123</v>
      </c>
      <c r="G26" s="47"/>
      <c r="H26" s="47"/>
      <c r="I26" s="47"/>
      <c r="J26" s="47"/>
      <c r="K26" s="47"/>
      <c r="L26" s="47"/>
      <c r="M26" s="47"/>
      <c r="N26" s="47"/>
      <c r="O26" s="47"/>
    </row>
    <row r="27" spans="1:15" x14ac:dyDescent="0.45">
      <c r="A27" s="47" t="str">
        <f>Resepti!A54</f>
        <v>Sokerit</v>
      </c>
      <c r="B27" s="47">
        <f>Resepti!D54</f>
        <v>47.931974361009281</v>
      </c>
      <c r="C27" s="68">
        <v>1</v>
      </c>
      <c r="D27" s="68">
        <v>1</v>
      </c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</row>
    <row r="28" spans="1:15" x14ac:dyDescent="0.45">
      <c r="A28" s="47" t="str">
        <f>Resepti!A55</f>
        <v>Hiilihydraatit</v>
      </c>
      <c r="B28" s="47">
        <f>Resepti!D55</f>
        <v>493.96834502192274</v>
      </c>
      <c r="C28" s="68">
        <f>1-((C43+C44)/(B26+B27))</f>
        <v>9.8477479348265562E-2</v>
      </c>
      <c r="D28" s="68">
        <f>1-((D43+D44)/(B26+B27))</f>
        <v>1</v>
      </c>
      <c r="E28" s="47"/>
      <c r="F28" s="47" t="s">
        <v>124</v>
      </c>
      <c r="G28" s="47"/>
      <c r="H28" s="47"/>
      <c r="I28" s="47"/>
      <c r="J28" s="47"/>
      <c r="K28" s="47"/>
      <c r="L28" s="47"/>
      <c r="M28" s="47"/>
      <c r="N28" s="47"/>
      <c r="O28" s="47"/>
    </row>
    <row r="29" spans="1:15" x14ac:dyDescent="0.45">
      <c r="A29" s="47" t="str">
        <f>Resepti!A56</f>
        <v>Tuhka</v>
      </c>
      <c r="B29" s="47">
        <f>Resepti!D56</f>
        <v>31.335543204871449</v>
      </c>
      <c r="C29" s="68">
        <v>0</v>
      </c>
      <c r="D29" s="68">
        <v>0.6</v>
      </c>
      <c r="E29" s="47"/>
      <c r="F29" s="47" t="s">
        <v>125</v>
      </c>
      <c r="G29" s="47"/>
      <c r="H29" s="47"/>
      <c r="I29" s="47"/>
      <c r="J29" s="47"/>
      <c r="K29" s="47"/>
      <c r="L29" s="47"/>
      <c r="M29" s="47"/>
      <c r="N29" s="47"/>
      <c r="O29" s="47"/>
    </row>
    <row r="30" spans="1:15" x14ac:dyDescent="0.45">
      <c r="A30" s="47" t="s">
        <v>126</v>
      </c>
      <c r="B30" s="47">
        <f>1000-(B22+B23+B25+B26+B27+B29)</f>
        <v>7.23803187593046</v>
      </c>
      <c r="C30" s="68">
        <v>0.1</v>
      </c>
      <c r="D30" s="68">
        <v>0.5</v>
      </c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</row>
    <row r="31" spans="1:15" x14ac:dyDescent="0.45">
      <c r="A31" s="144" t="s">
        <v>127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</row>
    <row r="32" spans="1:15" x14ac:dyDescent="0.4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</row>
    <row r="33" spans="1:15" x14ac:dyDescent="0.45">
      <c r="A33" s="147" t="s">
        <v>387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</row>
    <row r="34" spans="1:15" x14ac:dyDescent="0.45">
      <c r="A34" s="47" t="s">
        <v>386</v>
      </c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</row>
    <row r="35" spans="1:15" s="14" customFormat="1" hidden="1" x14ac:dyDescent="0.45"/>
    <row r="36" spans="1:15" s="14" customFormat="1" hidden="1" x14ac:dyDescent="0.45"/>
    <row r="37" spans="1:15" s="14" customFormat="1" hidden="1" x14ac:dyDescent="0.45"/>
    <row r="38" spans="1:15" s="14" customFormat="1" hidden="1" x14ac:dyDescent="0.45">
      <c r="B38" s="14" t="s">
        <v>118</v>
      </c>
      <c r="C38" s="14" t="s">
        <v>128</v>
      </c>
      <c r="D38" s="14" t="s">
        <v>129</v>
      </c>
    </row>
    <row r="39" spans="1:15" s="14" customFormat="1" hidden="1" x14ac:dyDescent="0.45">
      <c r="A39" s="14" t="str">
        <f t="shared" ref="A39:A47" si="5">A22</f>
        <v>Valkuainen</v>
      </c>
      <c r="C39" s="14">
        <f t="shared" ref="C39:C44" si="6">B22*(1-C22)</f>
        <v>160.09666315197066</v>
      </c>
      <c r="D39" s="14">
        <f t="shared" ref="D39:D44" si="7">B22*(1-D22)</f>
        <v>32.019332630394125</v>
      </c>
    </row>
    <row r="40" spans="1:15" s="14" customFormat="1" hidden="1" x14ac:dyDescent="0.45">
      <c r="A40" s="14" t="str">
        <f t="shared" si="5"/>
        <v>Rasva</v>
      </c>
      <c r="C40" s="14">
        <f t="shared" si="6"/>
        <v>61.655250915422052</v>
      </c>
      <c r="D40" s="14">
        <f t="shared" si="7"/>
        <v>3.245013206074848</v>
      </c>
    </row>
    <row r="41" spans="1:15" s="14" customFormat="1" hidden="1" x14ac:dyDescent="0.45">
      <c r="A41" s="14" t="str">
        <f t="shared" si="5"/>
        <v>Rkuitu</v>
      </c>
      <c r="C41" s="14">
        <f t="shared" si="6"/>
        <v>104.31118531340407</v>
      </c>
      <c r="D41" s="14">
        <f t="shared" si="7"/>
        <v>57.950658507446704</v>
      </c>
    </row>
    <row r="42" spans="1:15" s="14" customFormat="1" hidden="1" x14ac:dyDescent="0.45">
      <c r="A42" s="14" t="str">
        <f t="shared" si="5"/>
        <v>NDF</v>
      </c>
      <c r="C42" s="14">
        <f t="shared" si="6"/>
        <v>199.75934759979066</v>
      </c>
      <c r="D42" s="14">
        <f t="shared" si="7"/>
        <v>199.75934759979066</v>
      </c>
    </row>
    <row r="43" spans="1:15" s="14" customFormat="1" hidden="1" x14ac:dyDescent="0.45">
      <c r="A43" s="14" t="str">
        <f t="shared" si="5"/>
        <v>Tärkkelys</v>
      </c>
      <c r="C43" s="14">
        <f t="shared" si="6"/>
        <v>438.79833878498295</v>
      </c>
      <c r="D43" s="14">
        <f t="shared" si="7"/>
        <v>0</v>
      </c>
    </row>
    <row r="44" spans="1:15" s="14" customFormat="1" hidden="1" x14ac:dyDescent="0.45">
      <c r="A44" s="14" t="str">
        <f t="shared" si="5"/>
        <v>Sokerit</v>
      </c>
      <c r="C44" s="14">
        <f t="shared" si="6"/>
        <v>0</v>
      </c>
      <c r="D44" s="14">
        <f t="shared" si="7"/>
        <v>0</v>
      </c>
    </row>
    <row r="45" spans="1:15" s="14" customFormat="1" hidden="1" x14ac:dyDescent="0.45">
      <c r="A45" s="14" t="str">
        <f t="shared" si="5"/>
        <v>Hiilihydraatit</v>
      </c>
      <c r="C45" s="14">
        <f>C43+C44</f>
        <v>438.79833878498295</v>
      </c>
      <c r="D45" s="14">
        <f>D43+D44</f>
        <v>0</v>
      </c>
    </row>
    <row r="46" spans="1:15" s="14" customFormat="1" hidden="1" x14ac:dyDescent="0.45">
      <c r="A46" s="14" t="str">
        <f t="shared" si="5"/>
        <v>Tuhka</v>
      </c>
      <c r="C46" s="14">
        <f>B29*(1-C29)</f>
        <v>31.335543204871449</v>
      </c>
      <c r="D46" s="14">
        <f>B29*(1-D29)</f>
        <v>12.53421728194858</v>
      </c>
    </row>
    <row r="47" spans="1:15" s="14" customFormat="1" hidden="1" x14ac:dyDescent="0.45">
      <c r="A47" s="14" t="str">
        <f t="shared" si="5"/>
        <v>Muut orgaaniset.</v>
      </c>
      <c r="C47" s="14">
        <f>B30*(1-C30)</f>
        <v>6.5142286883374139</v>
      </c>
      <c r="D47" s="14">
        <f>B30*(1-D30)</f>
        <v>3.61901593796523</v>
      </c>
    </row>
    <row r="48" spans="1:15" s="14" customFormat="1" hidden="1" x14ac:dyDescent="0.45">
      <c r="A48" s="14" t="s">
        <v>130</v>
      </c>
      <c r="B48" s="14">
        <f>B22+B23+B25+B26+B27+B29+B30</f>
        <v>1000</v>
      </c>
      <c r="C48" s="14">
        <f>C39+C40+C42+C43+C44+C46+C47</f>
        <v>898.15937234537512</v>
      </c>
      <c r="D48" s="14">
        <f>D39+D40+D42+D43+D44+D46+D47</f>
        <v>251.17692665617344</v>
      </c>
    </row>
    <row r="49" s="14" customFormat="1" hidden="1" x14ac:dyDescent="0.45"/>
    <row r="50" s="14" customFormat="1" hidden="1" x14ac:dyDescent="0.45"/>
    <row r="51" s="14" customFormat="1" hidden="1" x14ac:dyDescent="0.45"/>
    <row r="52" s="14" customFormat="1" hidden="1" x14ac:dyDescent="0.45"/>
    <row r="53" s="14" customFormat="1" hidden="1" x14ac:dyDescent="0.45"/>
    <row r="54" s="14" customFormat="1" hidden="1" x14ac:dyDescent="0.45"/>
    <row r="55" s="14" customFormat="1" hidden="1" x14ac:dyDescent="0.45"/>
    <row r="56" s="14" customFormat="1" hidden="1" x14ac:dyDescent="0.45"/>
    <row r="57" s="14" customFormat="1" hidden="1" x14ac:dyDescent="0.45"/>
    <row r="58" s="14" customFormat="1" hidden="1" x14ac:dyDescent="0.45"/>
    <row r="59" s="14" customFormat="1" hidden="1" x14ac:dyDescent="0.45"/>
    <row r="60" s="14" customFormat="1" hidden="1" x14ac:dyDescent="0.45"/>
    <row r="61" s="14" customFormat="1" hidden="1" x14ac:dyDescent="0.45"/>
    <row r="62" s="14" customFormat="1" hidden="1" x14ac:dyDescent="0.45"/>
    <row r="63" s="14" customFormat="1" hidden="1" x14ac:dyDescent="0.45"/>
    <row r="64" s="14" customFormat="1" hidden="1" x14ac:dyDescent="0.45"/>
    <row r="65" s="14" customFormat="1" hidden="1" x14ac:dyDescent="0.45"/>
    <row r="66" s="14" customFormat="1" hidden="1" x14ac:dyDescent="0.45"/>
    <row r="67" s="14" customFormat="1" hidden="1" x14ac:dyDescent="0.45"/>
    <row r="68" s="14" customFormat="1" hidden="1" x14ac:dyDescent="0.45"/>
    <row r="69" s="14" customFormat="1" hidden="1" x14ac:dyDescent="0.45"/>
    <row r="70" s="14" customFormat="1" hidden="1" x14ac:dyDescent="0.45"/>
    <row r="71" s="14" customFormat="1" hidden="1" x14ac:dyDescent="0.45"/>
    <row r="72" s="14" customFormat="1" hidden="1" x14ac:dyDescent="0.45"/>
    <row r="73" s="14" customFormat="1" hidden="1" x14ac:dyDescent="0.45"/>
    <row r="74" s="14" customFormat="1" hidden="1" x14ac:dyDescent="0.45"/>
    <row r="75" s="14" customFormat="1" hidden="1" x14ac:dyDescent="0.45"/>
    <row r="76" s="14" customFormat="1" hidden="1" x14ac:dyDescent="0.45"/>
    <row r="77" s="14" customFormat="1" hidden="1" x14ac:dyDescent="0.45"/>
    <row r="78" s="14" customFormat="1" hidden="1" x14ac:dyDescent="0.45"/>
    <row r="79" s="14" customFormat="1" hidden="1" x14ac:dyDescent="0.45"/>
    <row r="80" s="14" customFormat="1" hidden="1" x14ac:dyDescent="0.45"/>
    <row r="81" spans="1:15" s="14" customFormat="1" hidden="1" x14ac:dyDescent="0.45"/>
    <row r="82" spans="1:15" s="14" customFormat="1" hidden="1" x14ac:dyDescent="0.45"/>
    <row r="83" spans="1:15" s="14" customFormat="1" hidden="1" x14ac:dyDescent="0.45"/>
    <row r="84" spans="1:15" s="14" customFormat="1" hidden="1" x14ac:dyDescent="0.45"/>
    <row r="85" spans="1:15" s="14" customFormat="1" hidden="1" x14ac:dyDescent="0.45"/>
    <row r="86" spans="1:15" s="14" customFormat="1" hidden="1" x14ac:dyDescent="0.45"/>
    <row r="87" spans="1:15" s="14" customFormat="1" hidden="1" x14ac:dyDescent="0.45"/>
    <row r="88" spans="1:15" x14ac:dyDescent="0.45">
      <c r="A88" s="47" t="s">
        <v>388</v>
      </c>
      <c r="B88" s="47"/>
      <c r="C88" s="47"/>
      <c r="D88" s="47"/>
      <c r="E88" s="47"/>
      <c r="F88" s="146" t="s">
        <v>389</v>
      </c>
      <c r="G88" s="47"/>
      <c r="H88" s="47"/>
      <c r="I88" s="47"/>
      <c r="J88" s="47"/>
      <c r="K88" s="47"/>
      <c r="L88" s="47"/>
      <c r="M88" s="47"/>
      <c r="N88" s="47"/>
      <c r="O88" s="47"/>
    </row>
    <row r="89" spans="1:15" x14ac:dyDescent="0.45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  <row r="90" spans="1:15" x14ac:dyDescent="0.45">
      <c r="A90" s="137" t="s">
        <v>131</v>
      </c>
      <c r="B90" s="137"/>
      <c r="C90" s="137"/>
      <c r="D90" s="137"/>
      <c r="E90" s="137"/>
      <c r="F90" s="137"/>
      <c r="G90" s="137"/>
      <c r="H90" s="137"/>
      <c r="I90" s="137"/>
      <c r="J90" s="137"/>
      <c r="K90" s="137"/>
      <c r="L90" s="137"/>
      <c r="M90" s="137"/>
      <c r="N90" s="137"/>
      <c r="O90" s="47"/>
    </row>
    <row r="91" spans="1:15" x14ac:dyDescent="0.45">
      <c r="A91" s="137" t="s">
        <v>132</v>
      </c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47"/>
    </row>
    <row r="92" spans="1:15" x14ac:dyDescent="0.45">
      <c r="A92" s="137" t="s">
        <v>133</v>
      </c>
      <c r="B92" s="137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47"/>
    </row>
    <row r="93" spans="1:15" x14ac:dyDescent="0.45">
      <c r="A93" s="137"/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47"/>
    </row>
    <row r="94" spans="1:15" x14ac:dyDescent="0.45">
      <c r="A94" s="137" t="str">
        <f>A21</f>
        <v>Koostumus</v>
      </c>
      <c r="B94" s="137" t="s">
        <v>134</v>
      </c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47"/>
    </row>
    <row r="95" spans="1:15" x14ac:dyDescent="0.45">
      <c r="A95" s="137" t="str">
        <f>A22</f>
        <v>Valkuainen</v>
      </c>
      <c r="B95" s="138">
        <f>B22/10</f>
        <v>16.009666315197066</v>
      </c>
      <c r="C95" s="137"/>
      <c r="D95" s="137" t="s">
        <v>135</v>
      </c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47"/>
    </row>
    <row r="96" spans="1:15" x14ac:dyDescent="0.45">
      <c r="A96" s="137" t="str">
        <f>A23</f>
        <v>Rasva</v>
      </c>
      <c r="B96" s="138">
        <f>B23/10</f>
        <v>6.4900264121496907</v>
      </c>
      <c r="C96" s="137"/>
      <c r="D96" s="137" t="s">
        <v>136</v>
      </c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47"/>
    </row>
    <row r="97" spans="1:15" x14ac:dyDescent="0.45">
      <c r="A97" s="137" t="str">
        <f>A28</f>
        <v>Hiilihydraatit</v>
      </c>
      <c r="B97" s="138">
        <f>B28/10</f>
        <v>49.396834502192277</v>
      </c>
      <c r="C97" s="137"/>
      <c r="D97" s="137" t="s">
        <v>137</v>
      </c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47"/>
    </row>
    <row r="98" spans="1:15" x14ac:dyDescent="0.45">
      <c r="A98" s="137" t="s">
        <v>138</v>
      </c>
      <c r="B98" s="137">
        <v>-45.6</v>
      </c>
      <c r="C98" s="137"/>
      <c r="D98" s="137"/>
      <c r="E98" s="137"/>
      <c r="F98" s="137"/>
      <c r="G98" s="137" t="s">
        <v>139</v>
      </c>
      <c r="H98" s="137"/>
      <c r="I98" s="137"/>
      <c r="J98" s="137"/>
      <c r="K98" s="137"/>
      <c r="L98" s="137"/>
      <c r="M98" s="137"/>
      <c r="N98" s="137"/>
      <c r="O98" s="47"/>
    </row>
    <row r="99" spans="1:15" x14ac:dyDescent="0.45">
      <c r="A99" s="137" t="s">
        <v>140</v>
      </c>
      <c r="B99" s="137">
        <v>34.57</v>
      </c>
      <c r="C99" s="137"/>
      <c r="D99" s="137" t="s">
        <v>141</v>
      </c>
      <c r="E99" s="139">
        <f>B97/B95</f>
        <v>3.0854381053090827</v>
      </c>
      <c r="F99" s="137"/>
      <c r="G99" s="142" t="s">
        <v>142</v>
      </c>
      <c r="H99" s="142"/>
      <c r="I99" s="142" t="str">
        <f>IF(AND(E99&gt;1,E99&lt;3.4),"OK","Huono")</f>
        <v>OK</v>
      </c>
      <c r="J99" s="137"/>
      <c r="K99" s="137" t="s">
        <v>143</v>
      </c>
      <c r="L99" s="137"/>
      <c r="M99" s="137"/>
      <c r="N99" s="137"/>
      <c r="O99" s="47"/>
    </row>
    <row r="100" spans="1:15" x14ac:dyDescent="0.45">
      <c r="A100" s="137" t="s">
        <v>144</v>
      </c>
      <c r="B100" s="137">
        <v>2.1709999999999998</v>
      </c>
      <c r="C100" s="137"/>
      <c r="D100" s="137"/>
      <c r="E100" s="137"/>
      <c r="F100" s="137"/>
      <c r="G100" s="142" t="s">
        <v>145</v>
      </c>
      <c r="H100" s="142"/>
      <c r="I100" s="142" t="str">
        <f>IF(AND(E99&gt;1.9,E99&lt;8),"OK","Huono")</f>
        <v>OK</v>
      </c>
      <c r="J100" s="137"/>
      <c r="K100" s="137"/>
      <c r="L100" s="137"/>
      <c r="M100" s="137"/>
      <c r="N100" s="137"/>
      <c r="O100" s="47"/>
    </row>
    <row r="101" spans="1:15" x14ac:dyDescent="0.45">
      <c r="A101" s="137" t="s">
        <v>146</v>
      </c>
      <c r="B101" s="137">
        <v>-1.5229999999999999</v>
      </c>
      <c r="C101" s="137"/>
      <c r="D101" s="137"/>
      <c r="E101" s="137"/>
      <c r="F101" s="137"/>
      <c r="G101" s="137"/>
      <c r="H101" s="137"/>
      <c r="I101" s="137"/>
      <c r="J101" s="137"/>
      <c r="K101" s="148" t="s">
        <v>392</v>
      </c>
      <c r="L101" s="137"/>
      <c r="M101" s="137"/>
      <c r="N101" s="137"/>
      <c r="O101" s="47"/>
    </row>
    <row r="102" spans="1:15" x14ac:dyDescent="0.45">
      <c r="A102" s="137" t="s">
        <v>147</v>
      </c>
      <c r="B102" s="141">
        <f>IF(B97&gt;20,  B98+B99*B96+B100*B95+B101*B96*B96)</f>
        <v>149.36776420760759</v>
      </c>
      <c r="C102" s="137" t="s">
        <v>148</v>
      </c>
      <c r="D102" s="137"/>
      <c r="E102" s="137"/>
      <c r="F102" s="137"/>
      <c r="G102" s="137"/>
      <c r="H102" s="137"/>
      <c r="I102" s="137"/>
      <c r="J102" s="137"/>
      <c r="K102" s="137" t="s">
        <v>390</v>
      </c>
      <c r="L102" s="137"/>
      <c r="M102" s="137"/>
      <c r="N102" s="137"/>
      <c r="O102" s="47"/>
    </row>
    <row r="103" spans="1:15" x14ac:dyDescent="0.4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 t="s">
        <v>391</v>
      </c>
      <c r="L103" s="47"/>
      <c r="M103" s="47"/>
      <c r="N103" s="47"/>
      <c r="O103" s="47"/>
    </row>
    <row r="104" spans="1:15" x14ac:dyDescent="0.4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 t="s">
        <v>394</v>
      </c>
      <c r="L104" s="47"/>
      <c r="M104" s="47"/>
      <c r="N104" s="47"/>
      <c r="O104" s="47"/>
    </row>
    <row r="105" spans="1:15" x14ac:dyDescent="0.4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  <row r="106" spans="1:15" x14ac:dyDescent="0.45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</row>
  </sheetData>
  <phoneticPr fontId="23" type="noConversion"/>
  <hyperlinks>
    <hyperlink ref="F88" r:id="rId1" xr:uid="{49FAB9AE-E68B-4341-B4E0-40301D79ACFB}"/>
    <hyperlink ref="K101" r:id="rId2" display="https://doi.org/10.3920/JIFF2022.0102" xr:uid="{A2FFCE76-95C6-4DEA-B46E-E615E3DB4B12}"/>
  </hyperlinks>
  <pageMargins left="0.7" right="0.7" top="0.75" bottom="0.75" header="0.3" footer="0.3"/>
  <pageSetup paperSize="9" orientation="portrait" horizontalDpi="360" verticalDpi="360" r:id="rId3"/>
  <drawing r:id="rId4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A97E9-493D-4132-B4F0-EF7A6A4165A5}">
  <dimension ref="A1:K108"/>
  <sheetViews>
    <sheetView topLeftCell="A32" workbookViewId="0">
      <selection activeCell="A2" sqref="A2"/>
    </sheetView>
  </sheetViews>
  <sheetFormatPr defaultRowHeight="16.5" x14ac:dyDescent="0.45"/>
  <cols>
    <col min="1" max="1" width="41.6640625" customWidth="1"/>
    <col min="2" max="2" width="13.5" customWidth="1"/>
    <col min="4" max="4" width="10.75" customWidth="1"/>
    <col min="5" max="5" width="15.9140625" customWidth="1"/>
    <col min="7" max="7" width="9.75" customWidth="1"/>
    <col min="8" max="8" width="15.6640625" customWidth="1"/>
    <col min="10" max="10" width="11.4140625" customWidth="1"/>
    <col min="11" max="11" width="15.6640625" customWidth="1"/>
  </cols>
  <sheetData>
    <row r="1" spans="1:11" x14ac:dyDescent="0.45">
      <c r="A1" s="89" t="s">
        <v>149</v>
      </c>
      <c r="B1" s="47"/>
      <c r="C1" s="47"/>
    </row>
    <row r="2" spans="1:11" x14ac:dyDescent="0.45">
      <c r="A2" s="89"/>
      <c r="B2" s="47"/>
      <c r="C2" s="47"/>
    </row>
    <row r="3" spans="1:11" ht="20.5" thickBot="1" x14ac:dyDescent="0.6">
      <c r="A3" s="49" t="s">
        <v>150</v>
      </c>
      <c r="B3" s="47"/>
      <c r="C3" s="47"/>
    </row>
    <row r="4" spans="1:11" ht="17.5" thickTop="1" thickBot="1" x14ac:dyDescent="0.5">
      <c r="A4" s="97" t="s">
        <v>151</v>
      </c>
      <c r="B4" s="47"/>
      <c r="C4" s="47"/>
    </row>
    <row r="5" spans="1:11" x14ac:dyDescent="0.45">
      <c r="A5" t="s">
        <v>152</v>
      </c>
      <c r="B5" s="17">
        <v>100</v>
      </c>
    </row>
    <row r="6" spans="1:11" x14ac:dyDescent="0.45">
      <c r="A6" t="s">
        <v>153</v>
      </c>
      <c r="B6" s="83">
        <v>0.2</v>
      </c>
      <c r="C6" s="4"/>
      <c r="D6" s="88" t="s">
        <v>154</v>
      </c>
    </row>
    <row r="7" spans="1:11" x14ac:dyDescent="0.45">
      <c r="A7" t="s">
        <v>155</v>
      </c>
      <c r="B7" s="17">
        <v>12</v>
      </c>
      <c r="K7" s="27"/>
    </row>
    <row r="8" spans="1:11" x14ac:dyDescent="0.45">
      <c r="A8" t="s">
        <v>156</v>
      </c>
      <c r="B8" s="17">
        <v>0.7</v>
      </c>
      <c r="C8" s="17">
        <v>0.4</v>
      </c>
      <c r="D8" t="s">
        <v>157</v>
      </c>
    </row>
    <row r="9" spans="1:11" x14ac:dyDescent="0.45">
      <c r="A9" t="s">
        <v>158</v>
      </c>
      <c r="B9" s="27">
        <f>((B5*B6)/(B8*C8))</f>
        <v>71.428571428571431</v>
      </c>
      <c r="C9" t="s">
        <v>159</v>
      </c>
    </row>
    <row r="10" spans="1:11" x14ac:dyDescent="0.45">
      <c r="A10" t="s">
        <v>160</v>
      </c>
      <c r="B10" s="27">
        <f>((B5*B6)/(B8*C8))*B7</f>
        <v>857.14285714285711</v>
      </c>
      <c r="C10" t="s">
        <v>159</v>
      </c>
    </row>
    <row r="11" spans="1:11" ht="17" thickBot="1" x14ac:dyDescent="0.5">
      <c r="A11" s="97" t="s">
        <v>161</v>
      </c>
    </row>
    <row r="12" spans="1:11" x14ac:dyDescent="0.45">
      <c r="A12" t="s">
        <v>162</v>
      </c>
      <c r="B12" s="17">
        <v>5</v>
      </c>
      <c r="C12" t="s">
        <v>163</v>
      </c>
      <c r="D12" s="88" t="s">
        <v>164</v>
      </c>
      <c r="J12" s="94"/>
      <c r="K12" s="93"/>
    </row>
    <row r="13" spans="1:11" x14ac:dyDescent="0.45">
      <c r="A13" t="s">
        <v>165</v>
      </c>
      <c r="B13" s="17">
        <v>0.75</v>
      </c>
      <c r="C13" t="s">
        <v>166</v>
      </c>
      <c r="D13" s="88" t="s">
        <v>167</v>
      </c>
    </row>
    <row r="14" spans="1:11" x14ac:dyDescent="0.45">
      <c r="A14" t="s">
        <v>168</v>
      </c>
      <c r="B14" s="17">
        <v>45</v>
      </c>
      <c r="C14" t="s">
        <v>169</v>
      </c>
      <c r="D14" s="88" t="s">
        <v>170</v>
      </c>
    </row>
    <row r="15" spans="1:11" ht="17" thickBot="1" x14ac:dyDescent="0.5">
      <c r="A15" s="97" t="s">
        <v>171</v>
      </c>
    </row>
    <row r="16" spans="1:11" x14ac:dyDescent="0.45">
      <c r="A16" t="s">
        <v>172</v>
      </c>
      <c r="B16" s="83">
        <f>'Biologinen tehokkuus'!J11</f>
        <v>0.18782857142857146</v>
      </c>
      <c r="D16" s="88" t="s">
        <v>173</v>
      </c>
    </row>
    <row r="17" spans="1:11" x14ac:dyDescent="0.45">
      <c r="A17" t="s">
        <v>174</v>
      </c>
      <c r="B17" s="83">
        <f>'Biologinen tehokkuus'!J12</f>
        <v>0.67704761904761901</v>
      </c>
      <c r="D17" s="88" t="s">
        <v>175</v>
      </c>
    </row>
    <row r="18" spans="1:11" x14ac:dyDescent="0.45">
      <c r="A18" t="s">
        <v>176</v>
      </c>
      <c r="B18" s="108">
        <f>B17/B16</f>
        <v>3.6046039955379769</v>
      </c>
      <c r="D18" s="88" t="s">
        <v>177</v>
      </c>
    </row>
    <row r="19" spans="1:11" x14ac:dyDescent="0.45">
      <c r="A19" t="s">
        <v>178</v>
      </c>
      <c r="B19" s="83">
        <v>0.65</v>
      </c>
      <c r="D19" s="88" t="s">
        <v>179</v>
      </c>
    </row>
    <row r="20" spans="1:11" x14ac:dyDescent="0.45">
      <c r="A20" t="s">
        <v>180</v>
      </c>
      <c r="B20" s="83">
        <v>0.1</v>
      </c>
      <c r="D20" s="88" t="s">
        <v>181</v>
      </c>
    </row>
    <row r="21" spans="1:11" x14ac:dyDescent="0.45">
      <c r="A21" t="s">
        <v>182</v>
      </c>
      <c r="B21" s="83">
        <v>0.3</v>
      </c>
      <c r="D21" s="88"/>
    </row>
    <row r="22" spans="1:11" x14ac:dyDescent="0.45">
      <c r="A22" t="s">
        <v>183</v>
      </c>
      <c r="B22" s="83">
        <v>0.4</v>
      </c>
      <c r="D22" s="88"/>
    </row>
    <row r="23" spans="1:11" x14ac:dyDescent="0.45">
      <c r="A23" t="s">
        <v>184</v>
      </c>
      <c r="B23" s="4">
        <f>1-B21-B22</f>
        <v>0.29999999999999993</v>
      </c>
      <c r="D23" s="88"/>
    </row>
    <row r="24" spans="1:11" x14ac:dyDescent="0.45">
      <c r="A24" t="s">
        <v>185</v>
      </c>
      <c r="B24" s="83">
        <v>0.35</v>
      </c>
      <c r="D24" s="88"/>
    </row>
    <row r="25" spans="1:11" x14ac:dyDescent="0.45">
      <c r="A25" t="s">
        <v>186</v>
      </c>
      <c r="B25" s="83">
        <v>0.15</v>
      </c>
      <c r="D25" s="88"/>
    </row>
    <row r="26" spans="1:11" x14ac:dyDescent="0.45">
      <c r="A26" t="s">
        <v>187</v>
      </c>
      <c r="B26" s="100">
        <v>200</v>
      </c>
      <c r="C26" t="s">
        <v>169</v>
      </c>
      <c r="D26" s="88" t="s">
        <v>188</v>
      </c>
    </row>
    <row r="27" spans="1:11" x14ac:dyDescent="0.45">
      <c r="D27" s="88"/>
    </row>
    <row r="28" spans="1:11" x14ac:dyDescent="0.45">
      <c r="D28" s="88"/>
    </row>
    <row r="29" spans="1:11" x14ac:dyDescent="0.45">
      <c r="J29" s="94"/>
      <c r="K29" s="93"/>
    </row>
    <row r="30" spans="1:11" ht="20.5" thickBot="1" x14ac:dyDescent="0.6">
      <c r="A30" s="44" t="s">
        <v>189</v>
      </c>
      <c r="K30" s="93"/>
    </row>
    <row r="31" spans="1:11" ht="17" thickTop="1" x14ac:dyDescent="0.45">
      <c r="A31" t="s">
        <v>190</v>
      </c>
      <c r="B31" s="17">
        <v>10</v>
      </c>
      <c r="D31" s="88" t="s">
        <v>191</v>
      </c>
    </row>
    <row r="32" spans="1:11" x14ac:dyDescent="0.45">
      <c r="A32" t="s">
        <v>192</v>
      </c>
      <c r="B32" s="17">
        <v>1</v>
      </c>
      <c r="D32" s="88" t="s">
        <v>193</v>
      </c>
    </row>
    <row r="33" spans="1:4" x14ac:dyDescent="0.45">
      <c r="A33" t="s">
        <v>194</v>
      </c>
      <c r="B33">
        <f>B31+B32</f>
        <v>11</v>
      </c>
      <c r="D33" s="88"/>
    </row>
    <row r="34" spans="1:4" x14ac:dyDescent="0.45">
      <c r="A34" t="s">
        <v>195</v>
      </c>
      <c r="B34" s="17">
        <v>3</v>
      </c>
      <c r="D34" s="88" t="s">
        <v>196</v>
      </c>
    </row>
    <row r="36" spans="1:4" ht="20.5" thickBot="1" x14ac:dyDescent="0.6">
      <c r="A36" s="44" t="s">
        <v>197</v>
      </c>
    </row>
    <row r="37" spans="1:4" ht="17" thickTop="1" x14ac:dyDescent="0.45">
      <c r="A37" t="s">
        <v>198</v>
      </c>
      <c r="B37">
        <f>(B12/100)*B8*C8*B13*1000</f>
        <v>10.499999999999998</v>
      </c>
      <c r="C37" t="s">
        <v>38</v>
      </c>
      <c r="D37" s="88"/>
    </row>
    <row r="38" spans="1:4" x14ac:dyDescent="0.45">
      <c r="A38" t="s">
        <v>199</v>
      </c>
      <c r="B38" s="93">
        <f>((B37*(1-Resepti!B25))/((B14/1000000)*B31))/0.95</f>
        <v>8596.4912280701719</v>
      </c>
      <c r="D38" s="88"/>
    </row>
    <row r="39" spans="1:4" x14ac:dyDescent="0.45">
      <c r="A39" t="s">
        <v>200</v>
      </c>
      <c r="B39" s="99">
        <f>ROUND(B38, -3)</f>
        <v>9000</v>
      </c>
      <c r="C39" t="s">
        <v>159</v>
      </c>
      <c r="D39" s="88" t="s">
        <v>201</v>
      </c>
    </row>
    <row r="40" spans="1:4" x14ac:dyDescent="0.45">
      <c r="A40" t="s">
        <v>202</v>
      </c>
      <c r="B40" s="108">
        <f>(B37/B38)*B39</f>
        <v>10.992857142857146</v>
      </c>
      <c r="C40" t="s">
        <v>38</v>
      </c>
      <c r="D40" s="88" t="s">
        <v>203</v>
      </c>
    </row>
    <row r="41" spans="1:4" x14ac:dyDescent="0.45">
      <c r="A41" t="s">
        <v>204</v>
      </c>
      <c r="B41" s="119">
        <f>ROUND(B40,0)</f>
        <v>11</v>
      </c>
      <c r="C41" t="s">
        <v>38</v>
      </c>
      <c r="D41" s="88" t="s">
        <v>205</v>
      </c>
    </row>
    <row r="42" spans="1:4" x14ac:dyDescent="0.45">
      <c r="D42" s="88"/>
    </row>
    <row r="43" spans="1:4" x14ac:dyDescent="0.45">
      <c r="A43" t="s">
        <v>206</v>
      </c>
      <c r="B43" s="93">
        <f>B39/(B8*C8)</f>
        <v>32142.857142857145</v>
      </c>
      <c r="C43" t="s">
        <v>159</v>
      </c>
      <c r="D43" s="88"/>
    </row>
    <row r="44" spans="1:4" x14ac:dyDescent="0.45">
      <c r="A44" t="s">
        <v>207</v>
      </c>
      <c r="B44" s="93">
        <f>(B43*B7)*(1-B6)</f>
        <v>308571.42857142858</v>
      </c>
      <c r="C44" t="s">
        <v>159</v>
      </c>
      <c r="D44" s="88"/>
    </row>
    <row r="45" spans="1:4" x14ac:dyDescent="0.45">
      <c r="A45" t="s">
        <v>208</v>
      </c>
      <c r="B45" s="93">
        <f>(B5*B44)</f>
        <v>30857142.857142858</v>
      </c>
      <c r="C45" t="s">
        <v>159</v>
      </c>
      <c r="D45" s="88" t="s">
        <v>209</v>
      </c>
    </row>
    <row r="46" spans="1:4" x14ac:dyDescent="0.45">
      <c r="A46" t="s">
        <v>210</v>
      </c>
      <c r="B46" s="93">
        <f>B45/B34</f>
        <v>10285714.285714285</v>
      </c>
      <c r="C46" t="s">
        <v>159</v>
      </c>
      <c r="D46" s="88" t="s">
        <v>211</v>
      </c>
    </row>
    <row r="47" spans="1:4" x14ac:dyDescent="0.45">
      <c r="D47" s="88"/>
    </row>
    <row r="48" spans="1:4" x14ac:dyDescent="0.45">
      <c r="A48" t="s">
        <v>212</v>
      </c>
      <c r="B48" s="93">
        <f>B41/(B8*C8)</f>
        <v>39.285714285714292</v>
      </c>
      <c r="C48" t="s">
        <v>38</v>
      </c>
      <c r="D48" s="88"/>
    </row>
    <row r="49" spans="1:5" x14ac:dyDescent="0.45">
      <c r="A49" t="s">
        <v>213</v>
      </c>
      <c r="B49" s="93">
        <f>(B41*B7)*(1-B6)</f>
        <v>105.60000000000001</v>
      </c>
      <c r="C49" t="s">
        <v>38</v>
      </c>
      <c r="D49" s="88"/>
    </row>
    <row r="50" spans="1:5" x14ac:dyDescent="0.45">
      <c r="A50" t="s">
        <v>214</v>
      </c>
      <c r="B50" s="93">
        <f>(B5*B49)</f>
        <v>10560</v>
      </c>
      <c r="C50" t="s">
        <v>38</v>
      </c>
      <c r="D50" s="88" t="s">
        <v>209</v>
      </c>
    </row>
    <row r="51" spans="1:5" x14ac:dyDescent="0.45">
      <c r="A51" t="s">
        <v>215</v>
      </c>
      <c r="B51" s="93">
        <f>B50/B34</f>
        <v>3520</v>
      </c>
      <c r="C51" t="s">
        <v>38</v>
      </c>
      <c r="D51" s="88"/>
    </row>
    <row r="52" spans="1:5" x14ac:dyDescent="0.45">
      <c r="D52" s="88"/>
    </row>
    <row r="53" spans="1:5" ht="20.5" thickBot="1" x14ac:dyDescent="0.6">
      <c r="A53" s="44" t="s">
        <v>216</v>
      </c>
      <c r="D53" s="88"/>
    </row>
    <row r="54" spans="1:5" ht="17" thickTop="1" x14ac:dyDescent="0.45">
      <c r="A54" t="s">
        <v>217</v>
      </c>
      <c r="B54" s="17">
        <v>30</v>
      </c>
      <c r="D54" s="88"/>
    </row>
    <row r="55" spans="1:5" x14ac:dyDescent="0.45">
      <c r="A55" t="s">
        <v>218</v>
      </c>
      <c r="B55" s="104">
        <f>B54/B33</f>
        <v>2.7272727272727271</v>
      </c>
      <c r="D55" s="88"/>
      <c r="E55" s="96"/>
    </row>
    <row r="56" spans="1:5" ht="17" thickBot="1" x14ac:dyDescent="0.5">
      <c r="A56" s="98" t="s">
        <v>219</v>
      </c>
      <c r="D56" s="88"/>
      <c r="E56" s="96"/>
    </row>
    <row r="57" spans="1:5" x14ac:dyDescent="0.45">
      <c r="A57" t="s">
        <v>220</v>
      </c>
      <c r="B57" s="93">
        <f>B55*B45</f>
        <v>84155844.155844152</v>
      </c>
      <c r="C57" t="s">
        <v>221</v>
      </c>
      <c r="D57" s="88" t="s">
        <v>222</v>
      </c>
    </row>
    <row r="58" spans="1:5" x14ac:dyDescent="0.45">
      <c r="A58" t="s">
        <v>223</v>
      </c>
      <c r="B58" s="93">
        <f>B50*B55</f>
        <v>28799.999999999996</v>
      </c>
      <c r="C58" t="s">
        <v>224</v>
      </c>
      <c r="D58" s="88" t="s">
        <v>222</v>
      </c>
    </row>
    <row r="59" spans="1:5" x14ac:dyDescent="0.45">
      <c r="A59" t="s">
        <v>225</v>
      </c>
      <c r="B59" s="93">
        <f>(B58-B60)/1000</f>
        <v>17.329251363895505</v>
      </c>
      <c r="C59" t="s">
        <v>226</v>
      </c>
      <c r="D59" s="88"/>
    </row>
    <row r="60" spans="1:5" x14ac:dyDescent="0.45">
      <c r="A60" t="s">
        <v>227</v>
      </c>
      <c r="B60" s="93">
        <f>B58*(1-Resepti!J42)</f>
        <v>11470.748636104488</v>
      </c>
      <c r="C60" t="str">
        <f>C58</f>
        <v>kg/kk</v>
      </c>
      <c r="D60" s="88"/>
    </row>
    <row r="61" spans="1:5" x14ac:dyDescent="0.45">
      <c r="A61" t="s">
        <v>228</v>
      </c>
      <c r="D61" s="88"/>
    </row>
    <row r="62" spans="1:5" x14ac:dyDescent="0.45">
      <c r="A62" t="str">
        <f>Resepti!A37</f>
        <v>Vehnälese</v>
      </c>
      <c r="B62" s="137">
        <f>ROUND(Resepti!D37*B$60,0)</f>
        <v>279</v>
      </c>
      <c r="C62" t="str">
        <f>C58</f>
        <v>kg/kk</v>
      </c>
      <c r="D62" s="88"/>
    </row>
    <row r="63" spans="1:5" x14ac:dyDescent="0.45">
      <c r="A63" t="str">
        <f>Resepti!A38</f>
        <v>Kaura</v>
      </c>
      <c r="B63" s="140">
        <f>ROUND(Resepti!D38*B$60,0)</f>
        <v>4903</v>
      </c>
      <c r="C63" t="str">
        <f>C58</f>
        <v>kg/kk</v>
      </c>
      <c r="D63" s="88"/>
    </row>
    <row r="64" spans="1:5" x14ac:dyDescent="0.45">
      <c r="A64" t="str">
        <f>Resepti!A39</f>
        <v>Ohra r.</v>
      </c>
      <c r="B64" s="140">
        <f>ROUND(Resepti!D39*B$60,0)</f>
        <v>5715</v>
      </c>
      <c r="C64" t="str">
        <f>C58</f>
        <v>kg/kk</v>
      </c>
      <c r="D64" s="88"/>
    </row>
    <row r="65" spans="1:4" x14ac:dyDescent="0.45">
      <c r="A65" t="str">
        <f>Resepti!A40</f>
        <v>Herne</v>
      </c>
      <c r="B65" s="140">
        <f>ROUND(Resepti!D40*B$60,0)</f>
        <v>574</v>
      </c>
      <c r="C65" t="str">
        <f>C58</f>
        <v>kg/kk</v>
      </c>
      <c r="D65" s="88"/>
    </row>
    <row r="66" spans="1:4" x14ac:dyDescent="0.45">
      <c r="A66" t="str">
        <f>Resepti!A41</f>
        <v>Vehnä</v>
      </c>
      <c r="B66" s="137">
        <f>ROUND(Resepti!D41*B$60,)</f>
        <v>0</v>
      </c>
      <c r="C66" t="str">
        <f>C58</f>
        <v>kg/kk</v>
      </c>
      <c r="D66" s="88"/>
    </row>
    <row r="67" spans="1:4" x14ac:dyDescent="0.45">
      <c r="A67" t="s">
        <v>229</v>
      </c>
      <c r="B67" s="93">
        <f>B10*B55</f>
        <v>2337.6623376623374</v>
      </c>
      <c r="C67" t="s">
        <v>230</v>
      </c>
      <c r="D67" s="88" t="s">
        <v>222</v>
      </c>
    </row>
    <row r="68" spans="1:4" ht="17" thickBot="1" x14ac:dyDescent="0.5">
      <c r="A68" s="98" t="s">
        <v>231</v>
      </c>
      <c r="D68" s="88"/>
    </row>
    <row r="69" spans="1:4" x14ac:dyDescent="0.45">
      <c r="A69" t="s">
        <v>232</v>
      </c>
      <c r="B69" s="93">
        <f>B58*(1-Resepti!B25)*B16*B55</f>
        <v>5163.5781818181813</v>
      </c>
      <c r="C69" t="str">
        <f>C58</f>
        <v>kg/kk</v>
      </c>
      <c r="D69" s="88"/>
    </row>
    <row r="70" spans="1:4" x14ac:dyDescent="0.45">
      <c r="A70" t="s">
        <v>233</v>
      </c>
      <c r="B70" s="93">
        <f>B69*B21</f>
        <v>1549.0734545454543</v>
      </c>
      <c r="C70" t="str">
        <f>C59</f>
        <v>m3/kk</v>
      </c>
      <c r="D70" s="88" t="s">
        <v>234</v>
      </c>
    </row>
    <row r="71" spans="1:4" x14ac:dyDescent="0.45">
      <c r="A71" t="s">
        <v>235</v>
      </c>
      <c r="B71" s="93">
        <f>(B69-B70)/(1-B20)</f>
        <v>4016.1163636363631</v>
      </c>
      <c r="C71" t="str">
        <f>C60</f>
        <v>kg/kk</v>
      </c>
      <c r="D71" s="88" t="s">
        <v>236</v>
      </c>
    </row>
    <row r="72" spans="1:4" x14ac:dyDescent="0.45">
      <c r="A72" t="s">
        <v>237</v>
      </c>
      <c r="B72" s="93">
        <f>(B69*B22)/(1-B20)</f>
        <v>2294.9236363636364</v>
      </c>
      <c r="C72" t="str">
        <f>C71</f>
        <v>kg/kk</v>
      </c>
      <c r="D72" s="88" t="s">
        <v>236</v>
      </c>
    </row>
    <row r="73" spans="1:4" x14ac:dyDescent="0.45">
      <c r="A73" t="s">
        <v>238</v>
      </c>
      <c r="B73" s="93">
        <f>B69/(1-B19)</f>
        <v>14753.08051948052</v>
      </c>
      <c r="C73" t="str">
        <f>C69</f>
        <v>kg/kk</v>
      </c>
      <c r="D73" s="88"/>
    </row>
    <row r="74" spans="1:4" x14ac:dyDescent="0.45">
      <c r="A74" t="s">
        <v>239</v>
      </c>
      <c r="B74" s="27">
        <f>(B73/B57)*1000000</f>
        <v>175.3066666666667</v>
      </c>
      <c r="C74" t="s">
        <v>169</v>
      </c>
      <c r="D74" s="88" t="s">
        <v>240</v>
      </c>
    </row>
    <row r="75" spans="1:4" x14ac:dyDescent="0.45">
      <c r="A75" t="s">
        <v>241</v>
      </c>
      <c r="B75" s="93">
        <f>B57</f>
        <v>84155844.155844152</v>
      </c>
      <c r="C75" t="s">
        <v>221</v>
      </c>
      <c r="D75" s="88" t="s">
        <v>242</v>
      </c>
    </row>
    <row r="76" spans="1:4" x14ac:dyDescent="0.45">
      <c r="A76" t="s">
        <v>243</v>
      </c>
      <c r="B76" s="93">
        <f>(B73/B26)*1000000</f>
        <v>73765402.597402602</v>
      </c>
      <c r="C76" t="s">
        <v>221</v>
      </c>
      <c r="D76" s="88" t="s">
        <v>244</v>
      </c>
    </row>
    <row r="77" spans="1:4" x14ac:dyDescent="0.45">
      <c r="A77" t="s">
        <v>245</v>
      </c>
      <c r="B77" s="4">
        <f>B76/B75</f>
        <v>0.87653333333333339</v>
      </c>
      <c r="D77" s="88" t="s">
        <v>246</v>
      </c>
    </row>
    <row r="78" spans="1:4" x14ac:dyDescent="0.45">
      <c r="D78" s="88"/>
    </row>
    <row r="79" spans="1:4" x14ac:dyDescent="0.45">
      <c r="A79" t="s">
        <v>247</v>
      </c>
      <c r="B79" s="93">
        <f>((B58*(1-Resepti!B25))*B17)/(1-B24)</f>
        <v>10499.446153846151</v>
      </c>
      <c r="C79" t="str">
        <f>C69</f>
        <v>kg/kk</v>
      </c>
      <c r="D79" s="88" t="s">
        <v>248</v>
      </c>
    </row>
    <row r="80" spans="1:4" x14ac:dyDescent="0.45">
      <c r="A80" t="s">
        <v>249</v>
      </c>
      <c r="B80" s="93">
        <f>((B58*(1-Resepti!B25))*B17)/(1-B25)</f>
        <v>8028.9882352941158</v>
      </c>
      <c r="C80" t="str">
        <f>C79</f>
        <v>kg/kk</v>
      </c>
      <c r="D80" s="88" t="s">
        <v>250</v>
      </c>
    </row>
    <row r="81" spans="1:5" x14ac:dyDescent="0.45">
      <c r="D81" s="88"/>
    </row>
    <row r="84" spans="1:5" ht="20.5" thickBot="1" x14ac:dyDescent="0.6">
      <c r="A84" s="44" t="s">
        <v>251</v>
      </c>
    </row>
    <row r="85" spans="1:5" ht="17" thickTop="1" x14ac:dyDescent="0.45">
      <c r="A85" t="s">
        <v>252</v>
      </c>
      <c r="B85" s="17">
        <v>12</v>
      </c>
      <c r="D85" s="88"/>
    </row>
    <row r="86" spans="1:5" ht="17" thickBot="1" x14ac:dyDescent="0.5">
      <c r="A86" s="98" t="s">
        <v>253</v>
      </c>
      <c r="B86" s="88"/>
      <c r="C86" s="88"/>
      <c r="D86" s="88"/>
    </row>
    <row r="87" spans="1:5" x14ac:dyDescent="0.45">
      <c r="A87" t="s">
        <v>254</v>
      </c>
      <c r="B87" s="93">
        <f t="shared" ref="B87:B104" si="0">B57*B$85</f>
        <v>1009870129.8701298</v>
      </c>
      <c r="C87" t="s">
        <v>255</v>
      </c>
      <c r="D87" s="93">
        <f>B87/1000000</f>
        <v>1009.8701298701299</v>
      </c>
      <c r="E87" t="s">
        <v>256</v>
      </c>
    </row>
    <row r="88" spans="1:5" x14ac:dyDescent="0.45">
      <c r="A88" t="s">
        <v>257</v>
      </c>
      <c r="B88" s="93">
        <f t="shared" si="0"/>
        <v>345599.99999999994</v>
      </c>
      <c r="C88" t="s">
        <v>258</v>
      </c>
      <c r="D88" s="93">
        <f>B88/1000</f>
        <v>345.59999999999997</v>
      </c>
      <c r="E88" t="s">
        <v>259</v>
      </c>
    </row>
    <row r="89" spans="1:5" x14ac:dyDescent="0.45">
      <c r="A89" t="s">
        <v>260</v>
      </c>
      <c r="B89" s="93">
        <f t="shared" si="0"/>
        <v>207.95101636674605</v>
      </c>
      <c r="C89" t="s">
        <v>261</v>
      </c>
    </row>
    <row r="90" spans="1:5" x14ac:dyDescent="0.45">
      <c r="A90" t="s">
        <v>262</v>
      </c>
      <c r="B90" s="93">
        <f t="shared" si="0"/>
        <v>137648.98363325387</v>
      </c>
      <c r="C90" t="str">
        <f>C88</f>
        <v>kg/vuosi</v>
      </c>
      <c r="D90" s="93">
        <f>B90/1000</f>
        <v>137.64898363325386</v>
      </c>
      <c r="E90" t="s">
        <v>259</v>
      </c>
    </row>
    <row r="91" spans="1:5" x14ac:dyDescent="0.45">
      <c r="A91" t="str">
        <f t="shared" ref="A91:A96" si="1">A61</f>
        <v>Raaka-aineet:</v>
      </c>
      <c r="B91" s="93">
        <f t="shared" si="0"/>
        <v>0</v>
      </c>
    </row>
    <row r="92" spans="1:5" x14ac:dyDescent="0.45">
      <c r="A92" t="str">
        <f t="shared" si="1"/>
        <v>Vehnälese</v>
      </c>
      <c r="B92" s="93">
        <f t="shared" si="0"/>
        <v>3348</v>
      </c>
      <c r="C92" t="str">
        <f>C93</f>
        <v>kg/vuosi</v>
      </c>
      <c r="D92">
        <f>B92/1000</f>
        <v>3.3479999999999999</v>
      </c>
      <c r="E92" t="s">
        <v>259</v>
      </c>
    </row>
    <row r="93" spans="1:5" x14ac:dyDescent="0.45">
      <c r="A93" t="str">
        <f t="shared" si="1"/>
        <v>Kaura</v>
      </c>
      <c r="B93" s="93">
        <f t="shared" si="0"/>
        <v>58836</v>
      </c>
      <c r="C93" t="str">
        <f>C90</f>
        <v>kg/vuosi</v>
      </c>
      <c r="D93" s="93">
        <f>B93/1000</f>
        <v>58.835999999999999</v>
      </c>
      <c r="E93" t="s">
        <v>259</v>
      </c>
    </row>
    <row r="94" spans="1:5" x14ac:dyDescent="0.45">
      <c r="A94" t="str">
        <f t="shared" si="1"/>
        <v>Ohra r.</v>
      </c>
      <c r="B94" s="93">
        <f t="shared" si="0"/>
        <v>68580</v>
      </c>
      <c r="C94" t="str">
        <f>C93</f>
        <v>kg/vuosi</v>
      </c>
      <c r="D94" s="93">
        <f>B94/1000</f>
        <v>68.58</v>
      </c>
      <c r="E94" t="s">
        <v>259</v>
      </c>
    </row>
    <row r="95" spans="1:5" x14ac:dyDescent="0.45">
      <c r="A95" t="str">
        <f t="shared" si="1"/>
        <v>Herne</v>
      </c>
      <c r="B95" s="93">
        <f t="shared" si="0"/>
        <v>6888</v>
      </c>
      <c r="C95" t="str">
        <f>C94</f>
        <v>kg/vuosi</v>
      </c>
      <c r="D95" s="93">
        <f>B95/1000</f>
        <v>6.8879999999999999</v>
      </c>
      <c r="E95" t="s">
        <v>259</v>
      </c>
    </row>
    <row r="96" spans="1:5" x14ac:dyDescent="0.45">
      <c r="A96" t="str">
        <f t="shared" si="1"/>
        <v>Vehnä</v>
      </c>
      <c r="B96" s="93">
        <f t="shared" si="0"/>
        <v>0</v>
      </c>
      <c r="C96" t="str">
        <f>C95</f>
        <v>kg/vuosi</v>
      </c>
      <c r="D96">
        <f>B96/1000</f>
        <v>0</v>
      </c>
      <c r="E96" t="s">
        <v>259</v>
      </c>
    </row>
    <row r="97" spans="1:5" x14ac:dyDescent="0.45">
      <c r="A97" t="s">
        <v>229</v>
      </c>
      <c r="B97" s="93">
        <f t="shared" si="0"/>
        <v>28051.948051948049</v>
      </c>
      <c r="C97" t="s">
        <v>263</v>
      </c>
    </row>
    <row r="98" spans="1:5" ht="17" thickBot="1" x14ac:dyDescent="0.5">
      <c r="A98" s="98" t="s">
        <v>264</v>
      </c>
      <c r="B98" s="93">
        <f t="shared" si="0"/>
        <v>0</v>
      </c>
    </row>
    <row r="99" spans="1:5" x14ac:dyDescent="0.45">
      <c r="A99" t="str">
        <f t="shared" ref="A99:A105" si="2">A69</f>
        <v>Toukka ka</v>
      </c>
      <c r="B99" s="93">
        <f t="shared" si="0"/>
        <v>61962.938181818172</v>
      </c>
      <c r="C99" t="str">
        <f>C88</f>
        <v>kg/vuosi</v>
      </c>
      <c r="D99" s="93">
        <f t="shared" ref="D99:D104" si="3">B99/1000</f>
        <v>61.962938181818174</v>
      </c>
      <c r="E99" t="s">
        <v>259</v>
      </c>
    </row>
    <row r="100" spans="1:5" x14ac:dyDescent="0.45">
      <c r="A100" t="str">
        <f t="shared" si="2"/>
        <v>Toukkarasva</v>
      </c>
      <c r="B100" s="93">
        <f t="shared" si="0"/>
        <v>18588.881454545452</v>
      </c>
      <c r="C100" t="str">
        <f>C99</f>
        <v>kg/vuosi</v>
      </c>
      <c r="D100" s="93">
        <f t="shared" si="3"/>
        <v>18.588881454545451</v>
      </c>
      <c r="E100" t="s">
        <v>259</v>
      </c>
    </row>
    <row r="101" spans="1:5" x14ac:dyDescent="0.45">
      <c r="A101" t="str">
        <f t="shared" si="2"/>
        <v>Rasvaton toukka</v>
      </c>
      <c r="B101" s="93">
        <f t="shared" si="0"/>
        <v>48193.396363636355</v>
      </c>
      <c r="C101" t="str">
        <f t="shared" ref="C101:C104" si="4">C100</f>
        <v>kg/vuosi</v>
      </c>
      <c r="D101" s="93">
        <f t="shared" si="3"/>
        <v>48.193396363636353</v>
      </c>
      <c r="E101" t="s">
        <v>259</v>
      </c>
    </row>
    <row r="102" spans="1:5" x14ac:dyDescent="0.45">
      <c r="A102" t="str">
        <f t="shared" si="2"/>
        <v>Toukkaproteiini</v>
      </c>
      <c r="B102" s="93">
        <f t="shared" si="0"/>
        <v>27539.083636363637</v>
      </c>
      <c r="C102" t="str">
        <f t="shared" si="4"/>
        <v>kg/vuosi</v>
      </c>
      <c r="D102" s="93">
        <f t="shared" si="3"/>
        <v>27.539083636363639</v>
      </c>
      <c r="E102" t="s">
        <v>259</v>
      </c>
    </row>
    <row r="103" spans="1:5" x14ac:dyDescent="0.45">
      <c r="A103" t="str">
        <f t="shared" si="2"/>
        <v>Toukka tuore</v>
      </c>
      <c r="B103" s="93">
        <f t="shared" si="0"/>
        <v>177036.96623376623</v>
      </c>
      <c r="C103" t="str">
        <f t="shared" si="4"/>
        <v>kg/vuosi</v>
      </c>
      <c r="D103" s="93">
        <f t="shared" si="3"/>
        <v>177.03696623376624</v>
      </c>
      <c r="E103" t="s">
        <v>259</v>
      </c>
    </row>
    <row r="104" spans="1:5" x14ac:dyDescent="0.45">
      <c r="A104" t="str">
        <f t="shared" si="2"/>
        <v>Toukka paino biokonversiolla (käyttö)</v>
      </c>
      <c r="B104" s="93">
        <f t="shared" si="0"/>
        <v>2103.6800000000003</v>
      </c>
      <c r="C104" t="str">
        <f t="shared" si="4"/>
        <v>kg/vuosi</v>
      </c>
      <c r="D104" s="93">
        <f t="shared" si="3"/>
        <v>2.1036800000000002</v>
      </c>
      <c r="E104" t="s">
        <v>259</v>
      </c>
    </row>
    <row r="105" spans="1:5" x14ac:dyDescent="0.45">
      <c r="A105" t="str">
        <f t="shared" si="2"/>
        <v>Toukka lkm (käyttö)</v>
      </c>
      <c r="B105" s="93">
        <f>B87</f>
        <v>1009870129.8701298</v>
      </c>
      <c r="C105" t="s">
        <v>265</v>
      </c>
      <c r="D105" s="93">
        <f>B105/1000000</f>
        <v>1009.8701298701299</v>
      </c>
      <c r="E105" t="s">
        <v>256</v>
      </c>
    </row>
    <row r="106" spans="1:5" x14ac:dyDescent="0.45">
      <c r="B106" s="93">
        <f>B78*B$85</f>
        <v>0</v>
      </c>
    </row>
    <row r="107" spans="1:5" x14ac:dyDescent="0.45">
      <c r="A107" t="str">
        <f>A79</f>
        <v>Toukkapurua</v>
      </c>
      <c r="B107" s="93">
        <f>B79*B$85</f>
        <v>125993.35384615381</v>
      </c>
      <c r="C107" t="str">
        <f>C103</f>
        <v>kg/vuosi</v>
      </c>
      <c r="D107" s="93">
        <f>B107/1000</f>
        <v>125.99335384615381</v>
      </c>
      <c r="E107" t="s">
        <v>259</v>
      </c>
    </row>
    <row r="108" spans="1:5" x14ac:dyDescent="0.45">
      <c r="A108" t="str">
        <f>A80</f>
        <v>Toukkapurulannoitetta</v>
      </c>
      <c r="B108" s="93">
        <f>B80*B$85</f>
        <v>96347.858823529386</v>
      </c>
      <c r="C108" t="str">
        <f>C107</f>
        <v>kg/vuosi</v>
      </c>
      <c r="D108" s="93">
        <f>B108/1000</f>
        <v>96.347858823529393</v>
      </c>
      <c r="E108" t="s">
        <v>259</v>
      </c>
    </row>
  </sheetData>
  <pageMargins left="0.7" right="0.7" top="0.75" bottom="0.75" header="0.3" footer="0.3"/>
  <pageSetup paperSize="9" orientation="portrait" horizontalDpi="360" verticalDpi="36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D71A7-4BCA-4614-90B5-C85C260EF561}">
  <dimension ref="A1:L28"/>
  <sheetViews>
    <sheetView workbookViewId="0">
      <selection activeCell="A25" sqref="A25"/>
    </sheetView>
  </sheetViews>
  <sheetFormatPr defaultRowHeight="16.5" x14ac:dyDescent="0.45"/>
  <cols>
    <col min="1" max="1" width="17.6640625" customWidth="1"/>
    <col min="2" max="2" width="25.5" customWidth="1"/>
    <col min="3" max="3" width="14.4140625" customWidth="1"/>
    <col min="4" max="4" width="21.6640625" customWidth="1"/>
    <col min="5" max="5" width="14.4140625" customWidth="1"/>
    <col min="6" max="6" width="15.6640625" customWidth="1"/>
    <col min="7" max="8" width="20.6640625" customWidth="1"/>
    <col min="9" max="9" width="21.6640625" customWidth="1"/>
    <col min="10" max="10" width="17.5" customWidth="1"/>
    <col min="11" max="11" width="12.75" customWidth="1"/>
    <col min="12" max="12" width="17.4140625" customWidth="1"/>
    <col min="14" max="14" width="8"/>
    <col min="15" max="15" width="16.33203125" customWidth="1"/>
    <col min="16" max="16" width="13.25" customWidth="1"/>
    <col min="17" max="17" width="8"/>
    <col min="18" max="18" width="10.58203125" customWidth="1"/>
  </cols>
  <sheetData>
    <row r="1" spans="1:11" x14ac:dyDescent="0.45">
      <c r="A1" s="110" t="s">
        <v>266</v>
      </c>
      <c r="D1" s="109"/>
    </row>
    <row r="2" spans="1:11" x14ac:dyDescent="0.45">
      <c r="A2" s="110" t="s">
        <v>267</v>
      </c>
      <c r="D2" s="109"/>
    </row>
    <row r="3" spans="1:11" x14ac:dyDescent="0.45">
      <c r="A3" s="110" t="s">
        <v>268</v>
      </c>
      <c r="D3" s="109"/>
    </row>
    <row r="4" spans="1:11" x14ac:dyDescent="0.45">
      <c r="A4" s="110"/>
      <c r="D4" s="109"/>
    </row>
    <row r="5" spans="1:11" x14ac:dyDescent="0.45">
      <c r="A5" t="s">
        <v>269</v>
      </c>
      <c r="B5" t="s">
        <v>270</v>
      </c>
      <c r="D5" s="109"/>
    </row>
    <row r="6" spans="1:11" x14ac:dyDescent="0.45">
      <c r="A6" s="17">
        <v>7.6</v>
      </c>
      <c r="B6" s="17">
        <v>20</v>
      </c>
      <c r="D6" s="109"/>
    </row>
    <row r="7" spans="1:11" x14ac:dyDescent="0.45">
      <c r="D7" t="s">
        <v>271</v>
      </c>
      <c r="E7" s="111" t="s">
        <v>272</v>
      </c>
      <c r="F7" t="s">
        <v>273</v>
      </c>
      <c r="G7" t="s">
        <v>274</v>
      </c>
      <c r="H7" t="s">
        <v>274</v>
      </c>
      <c r="I7" t="s">
        <v>274</v>
      </c>
    </row>
    <row r="8" spans="1:11" x14ac:dyDescent="0.45">
      <c r="D8" s="27">
        <f>'Biologinen panostuotos'!B67</f>
        <v>2337.6623376623374</v>
      </c>
      <c r="E8" s="27">
        <f>D8/'Biologinen panostuotos'!B7</f>
        <v>194.80519480519479</v>
      </c>
      <c r="F8">
        <f>'Biologinen panostuotos'!B5</f>
        <v>100</v>
      </c>
      <c r="G8" s="108">
        <f>('Biologinen panostuotos'!B58)/1000</f>
        <v>28.799999999999997</v>
      </c>
      <c r="H8" s="108">
        <f>('Biologinen panostuotos'!B71)/1000</f>
        <v>4.016116363636363</v>
      </c>
      <c r="I8" s="108">
        <f>('Biologinen panostuotos'!B80)/1000</f>
        <v>8.0289882352941166</v>
      </c>
    </row>
    <row r="9" spans="1:11" x14ac:dyDescent="0.45">
      <c r="A9" t="s">
        <v>275</v>
      </c>
      <c r="B9" t="s">
        <v>276</v>
      </c>
      <c r="C9" t="s">
        <v>277</v>
      </c>
      <c r="D9" t="s">
        <v>278</v>
      </c>
      <c r="E9" t="s">
        <v>279</v>
      </c>
      <c r="F9" t="s">
        <v>280</v>
      </c>
      <c r="G9" t="s">
        <v>281</v>
      </c>
      <c r="H9" t="s">
        <v>282</v>
      </c>
      <c r="I9" t="s">
        <v>283</v>
      </c>
      <c r="J9" t="s">
        <v>284</v>
      </c>
      <c r="K9" t="s">
        <v>285</v>
      </c>
    </row>
    <row r="10" spans="1:11" x14ac:dyDescent="0.45">
      <c r="A10" t="s">
        <v>286</v>
      </c>
      <c r="B10" t="s">
        <v>287</v>
      </c>
      <c r="C10" s="112">
        <f>20*0.25</f>
        <v>5</v>
      </c>
      <c r="D10" s="17">
        <v>1</v>
      </c>
      <c r="E10">
        <f>(D10*'Biologinen panostuotos'!$B$7)/60</f>
        <v>0.2</v>
      </c>
      <c r="F10" s="112">
        <v>0</v>
      </c>
      <c r="G10" s="112">
        <v>0.5</v>
      </c>
      <c r="H10" s="112">
        <v>0</v>
      </c>
      <c r="I10" s="112">
        <v>0</v>
      </c>
      <c r="J10" s="104">
        <f t="shared" ref="J10:J19" si="0">(C10+((E10*E$8)/60)+F10*F$8+G10*G$8+H10*H$8+I10*I$8)/A$6</f>
        <v>2.6380724538619278</v>
      </c>
      <c r="K10" s="104">
        <f t="shared" ref="K10:K19" si="1">(C10+((E10*E$8)/60)+F10*F$8+G10*G$8+H10*H$8+I10*I$8)/B$6</f>
        <v>1.0024675324675325</v>
      </c>
    </row>
    <row r="11" spans="1:11" x14ac:dyDescent="0.45">
      <c r="A11" t="s">
        <v>286</v>
      </c>
      <c r="B11" t="s">
        <v>288</v>
      </c>
      <c r="C11" s="112">
        <v>0</v>
      </c>
      <c r="D11" s="17">
        <v>1</v>
      </c>
      <c r="E11">
        <f>(D11*'Biologinen panostuotos'!$B$7)/60</f>
        <v>0.2</v>
      </c>
      <c r="F11" s="112">
        <v>0.05</v>
      </c>
      <c r="G11" s="112">
        <v>0</v>
      </c>
      <c r="H11" s="112">
        <v>0</v>
      </c>
      <c r="I11" s="112">
        <v>0</v>
      </c>
      <c r="J11" s="104">
        <f t="shared" si="0"/>
        <v>0.74333561175666452</v>
      </c>
      <c r="K11" s="104">
        <f t="shared" si="1"/>
        <v>0.28246753246753248</v>
      </c>
    </row>
    <row r="12" spans="1:11" x14ac:dyDescent="0.45">
      <c r="A12" t="s">
        <v>286</v>
      </c>
      <c r="B12" t="s">
        <v>289</v>
      </c>
      <c r="C12" s="112">
        <f>20*0.25</f>
        <v>5</v>
      </c>
      <c r="D12" s="17">
        <v>5</v>
      </c>
      <c r="E12">
        <f>(D12*'Biologinen panostuotos'!$B$7)/60</f>
        <v>1</v>
      </c>
      <c r="F12" s="112">
        <v>0</v>
      </c>
      <c r="G12" s="112">
        <v>0</v>
      </c>
      <c r="H12" s="112">
        <v>0</v>
      </c>
      <c r="I12" s="112">
        <v>0</v>
      </c>
      <c r="J12" s="104">
        <f t="shared" si="0"/>
        <v>1.0850991114149009</v>
      </c>
      <c r="K12" s="104">
        <f t="shared" si="1"/>
        <v>0.41233766233766234</v>
      </c>
    </row>
    <row r="13" spans="1:11" x14ac:dyDescent="0.45">
      <c r="A13" t="s">
        <v>290</v>
      </c>
      <c r="B13" t="s">
        <v>291</v>
      </c>
      <c r="C13" s="112">
        <f>20*0.25</f>
        <v>5</v>
      </c>
      <c r="D13" s="17">
        <v>25</v>
      </c>
      <c r="E13">
        <f>(D13*'Biologinen panostuotos'!$B$7)/60</f>
        <v>5</v>
      </c>
      <c r="F13" s="112">
        <f>((1/360)*B$6)/5</f>
        <v>1.1111111111111112E-2</v>
      </c>
      <c r="G13" s="112">
        <f>5/60</f>
        <v>8.3333333333333329E-2</v>
      </c>
      <c r="H13" s="112">
        <v>0</v>
      </c>
      <c r="I13" s="112">
        <v>0</v>
      </c>
      <c r="J13" s="104">
        <f t="shared" si="0"/>
        <v>3.2559049137996503</v>
      </c>
      <c r="K13" s="104">
        <f t="shared" si="1"/>
        <v>1.237243867243867</v>
      </c>
    </row>
    <row r="14" spans="1:11" x14ac:dyDescent="0.45">
      <c r="A14" t="s">
        <v>290</v>
      </c>
      <c r="B14" t="s">
        <v>292</v>
      </c>
      <c r="C14" s="112">
        <f>20*0.25</f>
        <v>5</v>
      </c>
      <c r="D14" s="17">
        <v>5</v>
      </c>
      <c r="E14">
        <f>(D14*'Biologinen panostuotos'!$B$7)/60</f>
        <v>1</v>
      </c>
      <c r="F14" s="112">
        <f>((1/360)*B$6)/5</f>
        <v>1.1111111111111112E-2</v>
      </c>
      <c r="G14" s="112">
        <v>0</v>
      </c>
      <c r="H14" s="112">
        <v>0</v>
      </c>
      <c r="I14" s="112">
        <v>0.25</v>
      </c>
      <c r="J14" s="104">
        <f t="shared" si="0"/>
        <v>1.4954093969326168</v>
      </c>
      <c r="K14" s="104">
        <f t="shared" si="1"/>
        <v>0.56825557083439437</v>
      </c>
    </row>
    <row r="15" spans="1:11" x14ac:dyDescent="0.45">
      <c r="A15" t="s">
        <v>290</v>
      </c>
      <c r="B15" t="s">
        <v>293</v>
      </c>
      <c r="C15" s="112">
        <f>20*0.25</f>
        <v>5</v>
      </c>
      <c r="D15" s="17">
        <v>5</v>
      </c>
      <c r="E15">
        <f>(D15*'Biologinen panostuotos'!$B$7)/60</f>
        <v>1</v>
      </c>
      <c r="F15" s="112">
        <f>((1/360)*B$6)/5</f>
        <v>1.1111111111111112E-2</v>
      </c>
      <c r="G15" s="112">
        <v>0</v>
      </c>
      <c r="H15" s="112">
        <v>0.25</v>
      </c>
      <c r="I15" s="112">
        <v>0</v>
      </c>
      <c r="J15" s="104">
        <f t="shared" si="0"/>
        <v>1.3634070327333485</v>
      </c>
      <c r="K15" s="104">
        <f t="shared" si="1"/>
        <v>0.51809467243867247</v>
      </c>
    </row>
    <row r="16" spans="1:11" x14ac:dyDescent="0.45">
      <c r="A16" t="s">
        <v>290</v>
      </c>
      <c r="B16" t="s">
        <v>294</v>
      </c>
      <c r="C16" s="112">
        <f>20*0.25</f>
        <v>5</v>
      </c>
      <c r="D16" s="17">
        <v>5</v>
      </c>
      <c r="E16">
        <f>(D16*'Biologinen panostuotos'!$B$7)/60</f>
        <v>1</v>
      </c>
      <c r="F16" s="112">
        <f>((1/360)*B$6)/5</f>
        <v>1.1111111111111112E-2</v>
      </c>
      <c r="G16" s="112">
        <v>0</v>
      </c>
      <c r="H16" s="112">
        <v>0</v>
      </c>
      <c r="I16" s="112">
        <v>0.25</v>
      </c>
      <c r="J16" s="104">
        <f t="shared" si="0"/>
        <v>1.4954093969326168</v>
      </c>
      <c r="K16" s="104">
        <f t="shared" si="1"/>
        <v>0.56825557083439437</v>
      </c>
    </row>
    <row r="17" spans="1:12" x14ac:dyDescent="0.45">
      <c r="A17" t="s">
        <v>295</v>
      </c>
      <c r="B17" t="s">
        <v>296</v>
      </c>
      <c r="C17" s="112">
        <f>4*0.5</f>
        <v>2</v>
      </c>
      <c r="D17" s="17">
        <v>20</v>
      </c>
      <c r="E17">
        <f>(D17*'Biologinen panostuotos'!$B$7)/60</f>
        <v>4</v>
      </c>
      <c r="F17" s="112">
        <f>(5/360)*B$6</f>
        <v>0.27777777777777779</v>
      </c>
      <c r="G17" s="112">
        <v>0</v>
      </c>
      <c r="H17" s="112">
        <v>0.01</v>
      </c>
      <c r="I17" s="112">
        <v>0.01</v>
      </c>
      <c r="J17" s="104">
        <f t="shared" si="0"/>
        <v>5.6427949751026407</v>
      </c>
      <c r="K17" s="104">
        <f t="shared" si="1"/>
        <v>2.1442620905390033</v>
      </c>
    </row>
    <row r="18" spans="1:12" x14ac:dyDescent="0.45">
      <c r="A18" t="s">
        <v>295</v>
      </c>
      <c r="B18" t="s">
        <v>297</v>
      </c>
      <c r="C18" s="112">
        <f>20*(5/60)</f>
        <v>1.6666666666666665</v>
      </c>
      <c r="D18" s="17">
        <v>1.5</v>
      </c>
      <c r="E18">
        <f>(D18*'Biologinen panostuotos'!$B$7)/60</f>
        <v>0.3</v>
      </c>
      <c r="F18" s="112">
        <f>(1/360)*B$6</f>
        <v>5.5555555555555559E-2</v>
      </c>
      <c r="G18" s="112">
        <v>0.5</v>
      </c>
      <c r="H18" s="112">
        <v>0.01</v>
      </c>
      <c r="I18" s="112">
        <v>0.01</v>
      </c>
      <c r="J18" s="104">
        <f t="shared" si="0"/>
        <v>2.9890393739786183</v>
      </c>
      <c r="K18" s="104">
        <f t="shared" si="1"/>
        <v>1.1358349621118751</v>
      </c>
    </row>
    <row r="19" spans="1:12" x14ac:dyDescent="0.45">
      <c r="A19" t="s">
        <v>295</v>
      </c>
      <c r="B19" t="s">
        <v>298</v>
      </c>
      <c r="C19" s="112">
        <f>4*(15/60)</f>
        <v>1</v>
      </c>
      <c r="D19" s="17">
        <v>30</v>
      </c>
      <c r="E19">
        <f>(D19*'Biologinen panostuotos'!$B$7)/60</f>
        <v>6</v>
      </c>
      <c r="F19" s="112">
        <f>(1/360)*B$6</f>
        <v>5.5555555555555559E-2</v>
      </c>
      <c r="G19" s="112">
        <v>0.5</v>
      </c>
      <c r="H19" s="112">
        <v>0.25</v>
      </c>
      <c r="I19" s="112">
        <v>0.5</v>
      </c>
      <c r="J19" s="104">
        <f t="shared" si="0"/>
        <v>5.9808681900830516</v>
      </c>
      <c r="K19" s="104">
        <f t="shared" si="1"/>
        <v>2.2727299122315596</v>
      </c>
    </row>
    <row r="20" spans="1:12" x14ac:dyDescent="0.45">
      <c r="I20" t="s">
        <v>299</v>
      </c>
      <c r="J20" s="104">
        <f>SUM(J10:J19)</f>
        <v>26.689340456596035</v>
      </c>
      <c r="K20" s="104">
        <f>SUM(K10:K19)</f>
        <v>10.141949373506494</v>
      </c>
    </row>
    <row r="21" spans="1:12" x14ac:dyDescent="0.45">
      <c r="I21" t="s">
        <v>300</v>
      </c>
      <c r="J21" s="104">
        <f>J20/B6</f>
        <v>1.3344670228298017</v>
      </c>
      <c r="K21" s="104">
        <f>K20/A6</f>
        <v>1.3344670228298019</v>
      </c>
      <c r="L21" t="s">
        <v>301</v>
      </c>
    </row>
    <row r="24" spans="1:12" x14ac:dyDescent="0.45">
      <c r="B24" s="149"/>
      <c r="C24" s="149"/>
      <c r="D24" s="149"/>
      <c r="E24" s="149"/>
    </row>
    <row r="25" spans="1:12" x14ac:dyDescent="0.45">
      <c r="B25" s="149"/>
    </row>
    <row r="26" spans="1:12" x14ac:dyDescent="0.45">
      <c r="A26" s="156"/>
      <c r="B26" s="156"/>
      <c r="C26" s="156"/>
    </row>
    <row r="27" spans="1:12" x14ac:dyDescent="0.45">
      <c r="A27" s="156"/>
      <c r="B27" s="156"/>
      <c r="C27" s="156"/>
    </row>
    <row r="28" spans="1:12" x14ac:dyDescent="0.45">
      <c r="A28" s="157"/>
      <c r="B28" s="149"/>
      <c r="C28" s="14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26F02-F67E-4E8D-9CC9-444B92A96291}">
  <dimension ref="A1:N128"/>
  <sheetViews>
    <sheetView topLeftCell="A63" zoomScale="85" zoomScaleNormal="85" workbookViewId="0">
      <selection activeCell="D75" sqref="D75"/>
    </sheetView>
  </sheetViews>
  <sheetFormatPr defaultRowHeight="16.5" x14ac:dyDescent="0.45"/>
  <cols>
    <col min="1" max="1" width="27.75" customWidth="1"/>
    <col min="2" max="2" width="13.6640625" customWidth="1"/>
    <col min="3" max="3" width="17.1640625" customWidth="1"/>
    <col min="4" max="4" width="13.1640625" customWidth="1"/>
    <col min="5" max="5" width="10.9140625" customWidth="1"/>
    <col min="6" max="6" width="21.75" customWidth="1"/>
    <col min="7" max="7" width="15.1640625" customWidth="1"/>
    <col min="8" max="8" width="15.75" customWidth="1"/>
    <col min="9" max="9" width="27.4140625" customWidth="1"/>
    <col min="10" max="10" width="26.6640625" customWidth="1"/>
    <col min="11" max="11" width="23.1640625" customWidth="1"/>
    <col min="12" max="12" width="14.5" customWidth="1"/>
    <col min="13" max="13" width="12.9140625" customWidth="1"/>
    <col min="14" max="14" width="9.25" customWidth="1"/>
  </cols>
  <sheetData>
    <row r="1" spans="1:14" x14ac:dyDescent="0.45">
      <c r="A1" s="110" t="s">
        <v>302</v>
      </c>
      <c r="E1" s="109"/>
    </row>
    <row r="2" spans="1:14" x14ac:dyDescent="0.45">
      <c r="A2" s="110" t="s">
        <v>303</v>
      </c>
      <c r="E2" s="109"/>
    </row>
    <row r="3" spans="1:14" ht="17" thickBot="1" x14ac:dyDescent="0.5">
      <c r="A3" s="110"/>
      <c r="F3" s="109"/>
    </row>
    <row r="4" spans="1:14" x14ac:dyDescent="0.45">
      <c r="A4" s="156"/>
      <c r="B4" s="156"/>
      <c r="C4" s="156"/>
      <c r="F4" s="121"/>
      <c r="G4" s="122"/>
      <c r="H4" s="122"/>
      <c r="I4" s="122"/>
      <c r="J4" s="136" t="s">
        <v>304</v>
      </c>
      <c r="K4" s="123"/>
    </row>
    <row r="5" spans="1:14" x14ac:dyDescent="0.45">
      <c r="A5" s="156"/>
      <c r="B5" s="156"/>
      <c r="C5" s="156"/>
      <c r="F5" s="124"/>
      <c r="J5" s="125">
        <f>'Biologinen panostuotos'!B73/1000</f>
        <v>14.75308051948052</v>
      </c>
      <c r="K5" s="126"/>
    </row>
    <row r="6" spans="1:14" x14ac:dyDescent="0.45">
      <c r="A6" s="157"/>
      <c r="B6" s="149"/>
      <c r="C6" s="149"/>
      <c r="F6" s="127"/>
      <c r="K6" s="126"/>
    </row>
    <row r="7" spans="1:14" x14ac:dyDescent="0.45">
      <c r="F7" s="133" t="s">
        <v>271</v>
      </c>
      <c r="G7" s="134" t="s">
        <v>272</v>
      </c>
      <c r="H7" s="5" t="s">
        <v>273</v>
      </c>
      <c r="I7" s="5" t="s">
        <v>305</v>
      </c>
      <c r="J7" s="5" t="s">
        <v>306</v>
      </c>
      <c r="K7" s="135" t="s">
        <v>307</v>
      </c>
    </row>
    <row r="8" spans="1:14" ht="17" thickBot="1" x14ac:dyDescent="0.5">
      <c r="F8" s="128">
        <f>'Biologinen panostuotos'!B67</f>
        <v>2337.6623376623374</v>
      </c>
      <c r="G8" s="129">
        <f>F8/'Biologinen panostuotos'!B7</f>
        <v>194.80519480519479</v>
      </c>
      <c r="H8" s="130">
        <f>'Biologinen panostuotos'!B5</f>
        <v>100</v>
      </c>
      <c r="I8" s="131">
        <f>('Biologinen panostuotos'!B58)/1000</f>
        <v>28.799999999999997</v>
      </c>
      <c r="J8" s="131">
        <f>('Biologinen panostuotos'!B71)/1000</f>
        <v>4.016116363636363</v>
      </c>
      <c r="K8" s="132">
        <f>('Biologinen panostuotos'!B80)/1000</f>
        <v>8.0289882352941166</v>
      </c>
    </row>
    <row r="9" spans="1:14" x14ac:dyDescent="0.45">
      <c r="B9" s="110"/>
      <c r="E9" s="109"/>
    </row>
    <row r="10" spans="1:14" ht="20.5" thickBot="1" x14ac:dyDescent="0.6">
      <c r="A10" s="44" t="s">
        <v>308</v>
      </c>
      <c r="C10" t="str">
        <f>'Biologinen panostuotos'!A91</f>
        <v>Raaka-aineet:</v>
      </c>
      <c r="D10" s="103" t="str">
        <f>Resepti!Q18</f>
        <v>A hinta (/t)</v>
      </c>
      <c r="I10" s="5" t="s">
        <v>309</v>
      </c>
      <c r="L10" s="5" t="s">
        <v>310</v>
      </c>
      <c r="M10" s="5" t="s">
        <v>311</v>
      </c>
    </row>
    <row r="11" spans="1:14" ht="17" thickTop="1" x14ac:dyDescent="0.45">
      <c r="C11" t="str">
        <f>'Biologinen panostuotos'!A92</f>
        <v>Vehnälese</v>
      </c>
      <c r="D11" s="103">
        <f>Resepti!Q19</f>
        <v>175</v>
      </c>
      <c r="I11" s="120">
        <f>Resepti!J37</f>
        <v>9.6807331105760765E-3</v>
      </c>
      <c r="L11" s="104">
        <f t="shared" ref="L11:L16" si="0">I11*I$8</f>
        <v>0.27880511358459098</v>
      </c>
      <c r="M11" s="103">
        <f>L11*D11</f>
        <v>48.790894877303423</v>
      </c>
    </row>
    <row r="12" spans="1:14" x14ac:dyDescent="0.45">
      <c r="C12" t="str">
        <f>'Biologinen panostuotos'!A93</f>
        <v>Kaura</v>
      </c>
      <c r="D12" s="103">
        <f>Resepti!Q20</f>
        <v>185</v>
      </c>
      <c r="I12" s="120">
        <f>Resepti!J38</f>
        <v>0.17024619447637232</v>
      </c>
      <c r="L12" s="104">
        <f t="shared" si="0"/>
        <v>4.9030904009195222</v>
      </c>
      <c r="M12" s="103">
        <f t="shared" ref="M12:M16" si="1">L12*D12</f>
        <v>907.07172417011157</v>
      </c>
    </row>
    <row r="13" spans="1:14" x14ac:dyDescent="0.45">
      <c r="C13" t="str">
        <f>'Biologinen panostuotos'!A94</f>
        <v>Ohra r.</v>
      </c>
      <c r="D13" s="103">
        <f>Resepti!Q21</f>
        <v>175</v>
      </c>
      <c r="I13" s="120">
        <f>Resepti!J39</f>
        <v>0.19844846145122047</v>
      </c>
      <c r="L13" s="104">
        <f t="shared" si="0"/>
        <v>5.7153156897951494</v>
      </c>
      <c r="M13" s="103">
        <f t="shared" si="1"/>
        <v>1000.1802457141512</v>
      </c>
      <c r="N13" s="103"/>
    </row>
    <row r="14" spans="1:14" x14ac:dyDescent="0.45">
      <c r="B14" s="110"/>
      <c r="C14" t="str">
        <f>'Biologinen panostuotos'!A95</f>
        <v>Herne</v>
      </c>
      <c r="D14" s="103">
        <f>Resepti!Q22</f>
        <v>230</v>
      </c>
      <c r="I14" s="120">
        <f>Resepti!J40</f>
        <v>1.9914494159903626E-2</v>
      </c>
      <c r="L14" s="104">
        <f t="shared" si="0"/>
        <v>0.57353743180522443</v>
      </c>
      <c r="M14" s="103">
        <f t="shared" si="1"/>
        <v>131.91360931520163</v>
      </c>
    </row>
    <row r="15" spans="1:14" x14ac:dyDescent="0.45">
      <c r="B15" s="110"/>
      <c r="C15" t="str">
        <f>'Biologinen panostuotos'!A96</f>
        <v>Vehnä</v>
      </c>
      <c r="D15" s="103">
        <f>Resepti!Q23</f>
        <v>175</v>
      </c>
      <c r="I15" s="120">
        <f>Resepti!J41</f>
        <v>0</v>
      </c>
      <c r="L15" s="104">
        <f t="shared" si="0"/>
        <v>0</v>
      </c>
      <c r="M15" s="103">
        <f t="shared" si="1"/>
        <v>0</v>
      </c>
    </row>
    <row r="16" spans="1:14" x14ac:dyDescent="0.45">
      <c r="B16" s="110"/>
      <c r="C16" t="s">
        <v>57</v>
      </c>
      <c r="D16" s="101">
        <v>1.1000000000000001</v>
      </c>
      <c r="I16" s="120">
        <f>Resepti!J42</f>
        <v>0.60171011680192743</v>
      </c>
      <c r="L16" s="104">
        <f t="shared" si="0"/>
        <v>17.329251363895509</v>
      </c>
      <c r="M16" s="103">
        <f t="shared" si="1"/>
        <v>19.062176500285062</v>
      </c>
    </row>
    <row r="17" spans="1:14" x14ac:dyDescent="0.45">
      <c r="I17">
        <f>SUM(I11:I16)</f>
        <v>1</v>
      </c>
      <c r="L17">
        <f>SUM(L11:L16)</f>
        <v>28.799999999999997</v>
      </c>
      <c r="M17" s="113">
        <f>SUM(M11:M16)</f>
        <v>2107.018650577053</v>
      </c>
      <c r="N17" t="s">
        <v>312</v>
      </c>
    </row>
    <row r="18" spans="1:14" x14ac:dyDescent="0.45">
      <c r="B18" s="110"/>
      <c r="E18" s="5" t="s">
        <v>313</v>
      </c>
      <c r="F18" s="5" t="s">
        <v>314</v>
      </c>
      <c r="G18" s="5" t="s">
        <v>315</v>
      </c>
      <c r="H18" s="5" t="s">
        <v>316</v>
      </c>
      <c r="I18" s="5" t="s">
        <v>317</v>
      </c>
      <c r="J18" s="5" t="s">
        <v>318</v>
      </c>
      <c r="K18" s="5" t="s">
        <v>319</v>
      </c>
    </row>
    <row r="19" spans="1:14" ht="20.5" thickBot="1" x14ac:dyDescent="0.6">
      <c r="A19" s="44" t="s">
        <v>320</v>
      </c>
      <c r="E19" s="101"/>
      <c r="F19" s="101">
        <v>1</v>
      </c>
      <c r="G19" s="114">
        <f>(F19*'Biologinen panostuotos'!$B$7)</f>
        <v>12</v>
      </c>
      <c r="H19" s="101"/>
      <c r="I19" s="101"/>
      <c r="J19" s="101"/>
      <c r="K19" s="101"/>
      <c r="L19" s="104"/>
      <c r="M19" s="113">
        <f>(E19+(G19*G$8)+H19*H$8+I19*I$8+J19*J$8+K19*K$8)</f>
        <v>2337.6623376623374</v>
      </c>
      <c r="N19" t="s">
        <v>312</v>
      </c>
    </row>
    <row r="20" spans="1:14" ht="17" thickTop="1" x14ac:dyDescent="0.45">
      <c r="B20" s="110"/>
    </row>
    <row r="22" spans="1:14" ht="20.5" thickBot="1" x14ac:dyDescent="0.6">
      <c r="A22" s="44" t="s">
        <v>321</v>
      </c>
      <c r="B22" s="5" t="s">
        <v>275</v>
      </c>
      <c r="C22" s="5" t="s">
        <v>276</v>
      </c>
      <c r="D22" s="5" t="s">
        <v>322</v>
      </c>
      <c r="E22" s="5" t="s">
        <v>323</v>
      </c>
      <c r="F22" s="5" t="s">
        <v>324</v>
      </c>
      <c r="G22" s="5" t="s">
        <v>325</v>
      </c>
      <c r="H22" s="5" t="s">
        <v>326</v>
      </c>
      <c r="I22" s="5" t="s">
        <v>309</v>
      </c>
      <c r="J22" s="5" t="s">
        <v>327</v>
      </c>
      <c r="K22" s="5" t="s">
        <v>328</v>
      </c>
      <c r="L22" s="5" t="s">
        <v>329</v>
      </c>
      <c r="M22" s="5" t="s">
        <v>330</v>
      </c>
    </row>
    <row r="23" spans="1:14" ht="17" thickTop="1" x14ac:dyDescent="0.45">
      <c r="B23" s="112" t="s">
        <v>287</v>
      </c>
      <c r="C23" s="112" t="s">
        <v>331</v>
      </c>
      <c r="E23" s="112"/>
      <c r="F23" s="112"/>
      <c r="G23" s="104">
        <f>(F23*'Biologinen panostuotos'!$B$7)</f>
        <v>0</v>
      </c>
      <c r="H23" s="112"/>
      <c r="I23" s="112">
        <v>0.5</v>
      </c>
      <c r="J23" s="112"/>
      <c r="K23" s="112"/>
      <c r="L23" s="104">
        <f t="shared" ref="L23:L40" si="2">(E23+(G23*G$8)+H23*H$8+I23*I$8+J23*J$8+K23*K$8)</f>
        <v>14.399999999999999</v>
      </c>
      <c r="M23" s="103">
        <f t="shared" ref="M23:M40" si="3">L23*D$46</f>
        <v>2.1599999999999997</v>
      </c>
    </row>
    <row r="24" spans="1:14" x14ac:dyDescent="0.45">
      <c r="B24" s="112" t="s">
        <v>287</v>
      </c>
      <c r="C24" s="112" t="s">
        <v>332</v>
      </c>
      <c r="E24" s="112"/>
      <c r="F24" s="112"/>
      <c r="G24" s="104">
        <f>(F24*'Biologinen panostuotos'!$B$7)</f>
        <v>0</v>
      </c>
      <c r="H24" s="112"/>
      <c r="I24" s="112">
        <v>1.5</v>
      </c>
      <c r="J24" s="112"/>
      <c r="K24" s="112"/>
      <c r="L24" s="104">
        <f t="shared" si="2"/>
        <v>43.199999999999996</v>
      </c>
      <c r="M24" s="103">
        <f t="shared" si="3"/>
        <v>6.4799999999999995</v>
      </c>
    </row>
    <row r="25" spans="1:14" x14ac:dyDescent="0.45">
      <c r="B25" s="112" t="s">
        <v>287</v>
      </c>
      <c r="C25" s="112" t="s">
        <v>333</v>
      </c>
      <c r="E25" s="112"/>
      <c r="F25" s="112"/>
      <c r="G25" s="104">
        <f>(F25*'Biologinen panostuotos'!$B$7)</f>
        <v>0</v>
      </c>
      <c r="H25" s="112"/>
      <c r="I25" s="112">
        <v>0.5</v>
      </c>
      <c r="J25" s="112"/>
      <c r="K25" s="112"/>
      <c r="L25" s="104">
        <f t="shared" si="2"/>
        <v>14.399999999999999</v>
      </c>
      <c r="M25" s="103">
        <f t="shared" si="3"/>
        <v>2.1599999999999997</v>
      </c>
    </row>
    <row r="26" spans="1:14" x14ac:dyDescent="0.45">
      <c r="B26" s="112" t="s">
        <v>286</v>
      </c>
      <c r="C26" s="112" t="s">
        <v>334</v>
      </c>
      <c r="E26" s="112"/>
      <c r="F26" s="112"/>
      <c r="G26" s="104">
        <f>(F26*'Biologinen panostuotos'!$B$7)</f>
        <v>0</v>
      </c>
      <c r="H26" s="112"/>
      <c r="I26" s="112">
        <v>0.75</v>
      </c>
      <c r="J26" s="112"/>
      <c r="K26" s="112"/>
      <c r="L26" s="104">
        <f t="shared" si="2"/>
        <v>21.599999999999998</v>
      </c>
      <c r="M26" s="103">
        <f t="shared" si="3"/>
        <v>3.2399999999999998</v>
      </c>
    </row>
    <row r="27" spans="1:14" x14ac:dyDescent="0.45">
      <c r="B27" s="112" t="s">
        <v>286</v>
      </c>
      <c r="C27" s="112" t="s">
        <v>335</v>
      </c>
      <c r="E27" s="112"/>
      <c r="F27" s="112"/>
      <c r="G27" s="104">
        <f>(F27*'Biologinen panostuotos'!$B$7)</f>
        <v>0</v>
      </c>
      <c r="H27" s="112"/>
      <c r="I27" s="112">
        <v>17</v>
      </c>
      <c r="J27" s="112"/>
      <c r="K27" s="112"/>
      <c r="L27" s="104">
        <f t="shared" si="2"/>
        <v>489.59999999999997</v>
      </c>
      <c r="M27" s="103">
        <f t="shared" si="3"/>
        <v>73.44</v>
      </c>
    </row>
    <row r="28" spans="1:14" x14ac:dyDescent="0.45">
      <c r="B28" s="112" t="s">
        <v>286</v>
      </c>
      <c r="C28" s="112" t="s">
        <v>333</v>
      </c>
      <c r="E28" s="112"/>
      <c r="F28" s="112"/>
      <c r="G28" s="104">
        <f>(F28*'Biologinen panostuotos'!$B$7)</f>
        <v>0</v>
      </c>
      <c r="H28" s="112"/>
      <c r="I28" s="112">
        <v>0.5</v>
      </c>
      <c r="J28" s="112"/>
      <c r="K28" s="112"/>
      <c r="L28" s="104">
        <f t="shared" si="2"/>
        <v>14.399999999999999</v>
      </c>
      <c r="M28" s="103">
        <f t="shared" si="3"/>
        <v>2.1599999999999997</v>
      </c>
    </row>
    <row r="29" spans="1:14" x14ac:dyDescent="0.45">
      <c r="B29" s="112" t="s">
        <v>286</v>
      </c>
      <c r="C29" s="112" t="s">
        <v>336</v>
      </c>
      <c r="E29" s="112"/>
      <c r="F29" s="112"/>
      <c r="G29" s="104">
        <f>(F29*'Biologinen panostuotos'!$B$7)</f>
        <v>0</v>
      </c>
      <c r="H29" s="112"/>
      <c r="I29" s="112">
        <v>5</v>
      </c>
      <c r="J29" s="112"/>
      <c r="K29" s="112"/>
      <c r="L29" s="104">
        <f t="shared" si="2"/>
        <v>144</v>
      </c>
      <c r="M29" s="103">
        <f t="shared" si="3"/>
        <v>21.599999999999998</v>
      </c>
    </row>
    <row r="30" spans="1:14" x14ac:dyDescent="0.45">
      <c r="B30" s="112" t="s">
        <v>286</v>
      </c>
      <c r="C30" s="112" t="s">
        <v>337</v>
      </c>
      <c r="E30" s="112"/>
      <c r="F30" s="112"/>
      <c r="G30" s="104">
        <f>(F30*'Biologinen panostuotos'!$B$7)</f>
        <v>0</v>
      </c>
      <c r="H30" s="112"/>
      <c r="I30" s="112">
        <v>25</v>
      </c>
      <c r="J30" s="112"/>
      <c r="K30" s="112"/>
      <c r="L30" s="104">
        <f t="shared" si="2"/>
        <v>719.99999999999989</v>
      </c>
      <c r="M30" s="103">
        <f t="shared" si="3"/>
        <v>107.99999999999999</v>
      </c>
    </row>
    <row r="31" spans="1:14" x14ac:dyDescent="0.45">
      <c r="B31" s="112" t="s">
        <v>290</v>
      </c>
      <c r="C31" s="112" t="s">
        <v>338</v>
      </c>
      <c r="E31" s="112"/>
      <c r="F31" s="112"/>
      <c r="G31" s="104">
        <f>(F31*'Biologinen panostuotos'!$B$7)</f>
        <v>0</v>
      </c>
      <c r="H31" s="112"/>
      <c r="I31" s="112">
        <v>0.3</v>
      </c>
      <c r="J31" s="112"/>
      <c r="K31" s="112"/>
      <c r="L31" s="104">
        <f t="shared" si="2"/>
        <v>8.6399999999999988</v>
      </c>
      <c r="M31" s="103">
        <f t="shared" si="3"/>
        <v>1.2959999999999998</v>
      </c>
    </row>
    <row r="32" spans="1:14" x14ac:dyDescent="0.45">
      <c r="B32" s="112" t="s">
        <v>290</v>
      </c>
      <c r="C32" s="112" t="s">
        <v>339</v>
      </c>
      <c r="E32" s="112"/>
      <c r="F32" s="112"/>
      <c r="G32" s="104">
        <f>(F32*'Biologinen panostuotos'!$B$7)</f>
        <v>0</v>
      </c>
      <c r="H32" s="112"/>
      <c r="I32" s="112"/>
      <c r="J32" s="112">
        <v>2.5</v>
      </c>
      <c r="K32" s="112"/>
      <c r="L32" s="104">
        <f t="shared" si="2"/>
        <v>10.040290909090908</v>
      </c>
      <c r="M32" s="103">
        <f t="shared" si="3"/>
        <v>1.5060436363636363</v>
      </c>
    </row>
    <row r="33" spans="1:14" x14ac:dyDescent="0.45">
      <c r="B33" s="112" t="s">
        <v>290</v>
      </c>
      <c r="C33" s="112" t="s">
        <v>340</v>
      </c>
      <c r="E33" s="112"/>
      <c r="F33" s="112"/>
      <c r="G33" s="104">
        <f>(F33*'Biologinen panostuotos'!$B$7)</f>
        <v>0</v>
      </c>
      <c r="H33" s="112"/>
      <c r="I33" s="112"/>
      <c r="J33" s="112">
        <v>7</v>
      </c>
      <c r="K33" s="112">
        <v>7</v>
      </c>
      <c r="L33" s="104">
        <f t="shared" si="2"/>
        <v>84.315732192513366</v>
      </c>
      <c r="M33" s="103">
        <f t="shared" si="3"/>
        <v>12.647359828877004</v>
      </c>
    </row>
    <row r="34" spans="1:14" x14ac:dyDescent="0.45">
      <c r="B34" s="112" t="s">
        <v>290</v>
      </c>
      <c r="C34" s="112" t="s">
        <v>341</v>
      </c>
      <c r="E34" s="112"/>
      <c r="F34" s="112"/>
      <c r="G34" s="104">
        <f>(F34*'Biologinen panostuotos'!$B$7)</f>
        <v>0</v>
      </c>
      <c r="H34" s="112"/>
      <c r="I34" s="112"/>
      <c r="J34" s="112">
        <v>40</v>
      </c>
      <c r="K34" s="112"/>
      <c r="L34" s="104">
        <f t="shared" si="2"/>
        <v>160.64465454545453</v>
      </c>
      <c r="M34" s="103">
        <f t="shared" si="3"/>
        <v>24.09669818181818</v>
      </c>
    </row>
    <row r="35" spans="1:14" x14ac:dyDescent="0.45">
      <c r="B35" s="112" t="s">
        <v>290</v>
      </c>
      <c r="C35" s="112" t="s">
        <v>336</v>
      </c>
      <c r="E35" s="112"/>
      <c r="F35" s="112"/>
      <c r="G35" s="104">
        <f>(F35*'Biologinen panostuotos'!$B$7)</f>
        <v>0</v>
      </c>
      <c r="H35" s="112"/>
      <c r="I35" s="112"/>
      <c r="J35" s="112">
        <v>7</v>
      </c>
      <c r="K35" s="112">
        <v>7</v>
      </c>
      <c r="L35" s="104">
        <f t="shared" si="2"/>
        <v>84.315732192513366</v>
      </c>
      <c r="M35" s="103">
        <f t="shared" si="3"/>
        <v>12.647359828877004</v>
      </c>
    </row>
    <row r="36" spans="1:14" x14ac:dyDescent="0.45">
      <c r="B36" s="112" t="s">
        <v>290</v>
      </c>
      <c r="C36" s="112" t="s">
        <v>342</v>
      </c>
      <c r="E36" s="112"/>
      <c r="F36" s="112"/>
      <c r="G36" s="104">
        <f>(F36*'Biologinen panostuotos'!$B$7)</f>
        <v>0</v>
      </c>
      <c r="H36" s="112"/>
      <c r="I36" s="112"/>
      <c r="J36" s="112">
        <v>900</v>
      </c>
      <c r="K36" s="112">
        <v>400</v>
      </c>
      <c r="L36" s="104">
        <f t="shared" si="2"/>
        <v>6826.1000213903735</v>
      </c>
      <c r="M36" s="103">
        <f t="shared" si="3"/>
        <v>1023.915003208556</v>
      </c>
    </row>
    <row r="37" spans="1:14" x14ac:dyDescent="0.45">
      <c r="B37" s="112" t="s">
        <v>343</v>
      </c>
      <c r="C37" s="112" t="s">
        <v>344</v>
      </c>
      <c r="E37" s="112"/>
      <c r="F37" s="112"/>
      <c r="G37" s="104">
        <f>(F37*'Biologinen panostuotos'!$B$7)</f>
        <v>0</v>
      </c>
      <c r="H37" s="112"/>
      <c r="I37" s="112"/>
      <c r="J37" s="112">
        <v>35</v>
      </c>
      <c r="K37" s="112">
        <v>35</v>
      </c>
      <c r="L37" s="104">
        <f t="shared" si="2"/>
        <v>421.5786609625668</v>
      </c>
      <c r="M37" s="103">
        <f t="shared" si="3"/>
        <v>63.236799144385017</v>
      </c>
    </row>
    <row r="38" spans="1:14" x14ac:dyDescent="0.45">
      <c r="B38" s="112" t="s">
        <v>343</v>
      </c>
      <c r="C38" s="112" t="s">
        <v>331</v>
      </c>
      <c r="E38" s="112"/>
      <c r="F38" s="112"/>
      <c r="G38" s="104">
        <f>(F38*'Biologinen panostuotos'!$B$7)</f>
        <v>0</v>
      </c>
      <c r="H38" s="112"/>
      <c r="I38" s="112"/>
      <c r="J38" s="112">
        <v>7</v>
      </c>
      <c r="K38" s="112">
        <v>7</v>
      </c>
      <c r="L38" s="104">
        <f t="shared" si="2"/>
        <v>84.315732192513366</v>
      </c>
      <c r="M38" s="103">
        <f t="shared" si="3"/>
        <v>12.647359828877004</v>
      </c>
    </row>
    <row r="39" spans="1:14" x14ac:dyDescent="0.45">
      <c r="B39" s="112" t="s">
        <v>343</v>
      </c>
      <c r="C39" s="112" t="s">
        <v>333</v>
      </c>
      <c r="E39" s="112"/>
      <c r="F39" s="112"/>
      <c r="G39" s="104">
        <f>(F39*'Biologinen panostuotos'!$B$7)</f>
        <v>0</v>
      </c>
      <c r="H39" s="112"/>
      <c r="I39" s="112"/>
      <c r="J39" s="112">
        <v>0.5</v>
      </c>
      <c r="K39" s="112">
        <v>0.5</v>
      </c>
      <c r="L39" s="104">
        <f t="shared" si="2"/>
        <v>6.0225522994652394</v>
      </c>
      <c r="M39" s="103">
        <f t="shared" si="3"/>
        <v>0.90338284491978582</v>
      </c>
    </row>
    <row r="40" spans="1:14" x14ac:dyDescent="0.45">
      <c r="B40" s="112" t="s">
        <v>343</v>
      </c>
      <c r="C40" s="112" t="s">
        <v>336</v>
      </c>
      <c r="E40" s="112"/>
      <c r="F40" s="112"/>
      <c r="G40" s="104">
        <f>(F40*'Biologinen panostuotos'!$B$7)</f>
        <v>0</v>
      </c>
      <c r="H40" s="112"/>
      <c r="I40" s="112"/>
      <c r="J40" s="112">
        <v>10</v>
      </c>
      <c r="K40" s="112"/>
      <c r="L40" s="104">
        <f t="shared" si="2"/>
        <v>40.161163636363632</v>
      </c>
      <c r="M40" s="103">
        <f t="shared" si="3"/>
        <v>6.024174545454545</v>
      </c>
    </row>
    <row r="41" spans="1:14" x14ac:dyDescent="0.45">
      <c r="B41" s="112"/>
      <c r="C41" s="112"/>
      <c r="E41" s="112"/>
      <c r="F41" s="112"/>
      <c r="G41" s="104">
        <f>(F41*'Biologinen panostuotos'!$B$7)</f>
        <v>0</v>
      </c>
      <c r="H41" s="112"/>
      <c r="I41" s="112"/>
      <c r="J41" s="112"/>
      <c r="K41" s="112"/>
      <c r="L41" s="104">
        <f t="shared" ref="L41:L45" si="4">(E41+(G41*G$8)+H41*H$8+I41*I$8+J41*J$8+K41*K$8)</f>
        <v>0</v>
      </c>
      <c r="M41" s="103">
        <f t="shared" ref="M41:M45" si="5">L41*D$46</f>
        <v>0</v>
      </c>
    </row>
    <row r="42" spans="1:14" x14ac:dyDescent="0.45">
      <c r="B42" s="112"/>
      <c r="C42" s="112"/>
      <c r="E42" s="112"/>
      <c r="F42" s="112"/>
      <c r="G42" s="104">
        <f>(F42*'Biologinen panostuotos'!$B$7)</f>
        <v>0</v>
      </c>
      <c r="H42" s="112"/>
      <c r="I42" s="112"/>
      <c r="J42" s="112"/>
      <c r="K42" s="112"/>
      <c r="L42" s="104">
        <f t="shared" ref="L42:L43" si="6">(E42+(G42*G$8)+H42*H$8+I42*I$8+J42*J$8+K42*K$8)</f>
        <v>0</v>
      </c>
      <c r="M42" s="103">
        <f t="shared" ref="M42:M43" si="7">L42*D$46</f>
        <v>0</v>
      </c>
    </row>
    <row r="43" spans="1:14" x14ac:dyDescent="0.45">
      <c r="B43" s="112"/>
      <c r="C43" s="112"/>
      <c r="E43" s="112"/>
      <c r="F43" s="112"/>
      <c r="G43" s="104">
        <f>(F43*'Biologinen panostuotos'!$B$7)</f>
        <v>0</v>
      </c>
      <c r="H43" s="112"/>
      <c r="I43" s="112"/>
      <c r="J43" s="112"/>
      <c r="K43" s="112"/>
      <c r="L43" s="104">
        <f t="shared" si="6"/>
        <v>0</v>
      </c>
      <c r="M43" s="103">
        <f t="shared" si="7"/>
        <v>0</v>
      </c>
    </row>
    <row r="44" spans="1:14" x14ac:dyDescent="0.45">
      <c r="B44" s="112"/>
      <c r="C44" s="112"/>
      <c r="E44" s="112"/>
      <c r="F44" s="112"/>
      <c r="G44" s="104">
        <f>(F44*'Biologinen panostuotos'!$B$7)</f>
        <v>0</v>
      </c>
      <c r="H44" s="112"/>
      <c r="I44" s="112"/>
      <c r="J44" s="112"/>
      <c r="K44" s="112"/>
      <c r="L44" s="104">
        <f t="shared" si="4"/>
        <v>0</v>
      </c>
      <c r="M44" s="103">
        <f t="shared" si="5"/>
        <v>0</v>
      </c>
    </row>
    <row r="45" spans="1:14" x14ac:dyDescent="0.45">
      <c r="B45" s="112"/>
      <c r="C45" s="112"/>
      <c r="E45" s="112"/>
      <c r="F45" s="112"/>
      <c r="G45" s="104">
        <f>(F45*'Biologinen panostuotos'!$B$7)</f>
        <v>0</v>
      </c>
      <c r="H45" s="112"/>
      <c r="I45" s="112"/>
      <c r="J45" s="112"/>
      <c r="K45" s="112"/>
      <c r="L45" s="104">
        <f t="shared" si="4"/>
        <v>0</v>
      </c>
      <c r="M45" s="103">
        <f t="shared" si="5"/>
        <v>0</v>
      </c>
    </row>
    <row r="46" spans="1:14" x14ac:dyDescent="0.45">
      <c r="A46" t="s">
        <v>34</v>
      </c>
      <c r="D46" s="101">
        <v>0.15</v>
      </c>
      <c r="E46" s="104">
        <f>SUM(E23:E45)</f>
        <v>0</v>
      </c>
      <c r="F46" s="104">
        <f t="shared" ref="F46:K46" si="8">SUM(F23:F45)</f>
        <v>0</v>
      </c>
      <c r="G46" s="104">
        <f t="shared" si="8"/>
        <v>0</v>
      </c>
      <c r="H46" s="104">
        <f t="shared" si="8"/>
        <v>0</v>
      </c>
      <c r="I46" s="104">
        <f t="shared" si="8"/>
        <v>51.05</v>
      </c>
      <c r="J46" s="104">
        <f t="shared" si="8"/>
        <v>1009</v>
      </c>
      <c r="K46" s="104">
        <f t="shared" si="8"/>
        <v>456.5</v>
      </c>
      <c r="L46" s="104">
        <f>(E46+(G46*G$8)+H46*H$8+I46*I$8+J46*J$8+K46*K$8)</f>
        <v>9187.7345403208546</v>
      </c>
      <c r="M46" s="113">
        <f>L46*D$46</f>
        <v>1378.1601810481282</v>
      </c>
      <c r="N46" t="s">
        <v>312</v>
      </c>
    </row>
    <row r="48" spans="1:14" ht="20.5" thickBot="1" x14ac:dyDescent="0.6">
      <c r="A48" s="44" t="s">
        <v>345</v>
      </c>
      <c r="B48" s="5" t="s">
        <v>275</v>
      </c>
      <c r="C48" s="5" t="s">
        <v>276</v>
      </c>
      <c r="D48" s="5" t="s">
        <v>322</v>
      </c>
      <c r="E48" s="5" t="s">
        <v>323</v>
      </c>
      <c r="F48" s="5" t="s">
        <v>324</v>
      </c>
      <c r="G48" s="5" t="s">
        <v>325</v>
      </c>
      <c r="H48" s="5" t="s">
        <v>326</v>
      </c>
      <c r="I48" s="5" t="s">
        <v>309</v>
      </c>
      <c r="J48" s="5" t="s">
        <v>327</v>
      </c>
      <c r="K48" s="5" t="s">
        <v>328</v>
      </c>
      <c r="L48" s="104"/>
    </row>
    <row r="49" spans="1:14" ht="17" thickTop="1" x14ac:dyDescent="0.45">
      <c r="B49" s="112" t="s">
        <v>286</v>
      </c>
      <c r="C49" s="112" t="s">
        <v>346</v>
      </c>
      <c r="E49" s="112"/>
      <c r="F49" s="112"/>
      <c r="G49" s="104">
        <f>(F49*'Biologinen panostuotos'!$B$7)</f>
        <v>0</v>
      </c>
      <c r="H49" s="112"/>
      <c r="I49" s="112">
        <v>6</v>
      </c>
      <c r="J49" s="112"/>
      <c r="K49" s="112"/>
      <c r="L49" s="104">
        <f t="shared" ref="L49:L54" si="9">(E49+(G49*G$8)+H49*H$8+I49*I$8+J49*J$8+K49*K$8)</f>
        <v>172.79999999999998</v>
      </c>
      <c r="M49" s="103">
        <f t="shared" ref="M49:M51" si="10">L49*D$54</f>
        <v>190.07999999999998</v>
      </c>
    </row>
    <row r="50" spans="1:14" x14ac:dyDescent="0.45">
      <c r="B50" s="112" t="s">
        <v>290</v>
      </c>
      <c r="C50" s="112" t="s">
        <v>346</v>
      </c>
      <c r="E50" s="112"/>
      <c r="F50" s="112"/>
      <c r="G50" s="104">
        <f>(F50*'Biologinen panostuotos'!$B$7)</f>
        <v>0</v>
      </c>
      <c r="H50" s="112"/>
      <c r="I50" s="112"/>
      <c r="J50" s="112">
        <v>10</v>
      </c>
      <c r="K50" s="112">
        <v>10</v>
      </c>
      <c r="L50" s="104">
        <f t="shared" si="9"/>
        <v>120.45104598930479</v>
      </c>
      <c r="M50" s="103">
        <f t="shared" si="10"/>
        <v>132.49615058823528</v>
      </c>
    </row>
    <row r="51" spans="1:14" x14ac:dyDescent="0.45">
      <c r="B51" s="112" t="s">
        <v>347</v>
      </c>
      <c r="C51" s="112" t="s">
        <v>346</v>
      </c>
      <c r="E51" s="112"/>
      <c r="F51" s="112"/>
      <c r="G51" s="104">
        <f>(F51*'Biologinen panostuotos'!$B$7)</f>
        <v>0</v>
      </c>
      <c r="H51" s="112"/>
      <c r="I51" s="112"/>
      <c r="J51" s="112">
        <v>2.5</v>
      </c>
      <c r="K51" s="112">
        <v>2.5</v>
      </c>
      <c r="L51" s="104">
        <f t="shared" si="9"/>
        <v>30.112761497326197</v>
      </c>
      <c r="M51" s="103">
        <f t="shared" si="10"/>
        <v>33.12403764705882</v>
      </c>
    </row>
    <row r="52" spans="1:14" x14ac:dyDescent="0.45">
      <c r="B52" s="112"/>
      <c r="C52" s="112"/>
      <c r="E52" s="112"/>
      <c r="F52" s="112"/>
      <c r="G52" s="104">
        <f>(F52*'Biologinen panostuotos'!$B$7)</f>
        <v>0</v>
      </c>
      <c r="H52" s="112"/>
      <c r="I52" s="112"/>
      <c r="J52" s="112"/>
      <c r="K52" s="112"/>
      <c r="L52" s="104">
        <f t="shared" si="9"/>
        <v>0</v>
      </c>
      <c r="M52" s="103">
        <f t="shared" ref="M52" si="11">L52*D$54</f>
        <v>0</v>
      </c>
    </row>
    <row r="53" spans="1:14" x14ac:dyDescent="0.45">
      <c r="B53" s="112"/>
      <c r="C53" s="112"/>
      <c r="E53" s="112"/>
      <c r="F53" s="112"/>
      <c r="G53" s="104">
        <f>(F53*'Biologinen panostuotos'!$B$7)</f>
        <v>0</v>
      </c>
      <c r="H53" s="112"/>
      <c r="I53" s="112"/>
      <c r="J53" s="112"/>
      <c r="K53" s="112"/>
      <c r="L53" s="104">
        <f t="shared" si="9"/>
        <v>0</v>
      </c>
      <c r="M53" s="103">
        <f t="shared" ref="M53" si="12">L53*D$54</f>
        <v>0</v>
      </c>
    </row>
    <row r="54" spans="1:14" x14ac:dyDescent="0.45">
      <c r="A54" t="s">
        <v>34</v>
      </c>
      <c r="D54" s="101">
        <v>1.1000000000000001</v>
      </c>
      <c r="E54" s="104">
        <f>SUM(E49:E53)</f>
        <v>0</v>
      </c>
      <c r="F54" s="104">
        <f>SUM(F49:F53)</f>
        <v>0</v>
      </c>
      <c r="G54" s="104"/>
      <c r="H54" s="104">
        <f>SUM(H49:H53)</f>
        <v>0</v>
      </c>
      <c r="I54" s="104">
        <f>SUM(I49:I53)</f>
        <v>6</v>
      </c>
      <c r="J54" s="104">
        <f>SUM(J49:J53)</f>
        <v>12.5</v>
      </c>
      <c r="K54" s="104">
        <f>SUM(K49:K53)</f>
        <v>12.5</v>
      </c>
      <c r="L54" s="104">
        <f t="shared" si="9"/>
        <v>323.363807486631</v>
      </c>
      <c r="M54" s="113">
        <f>L54*D$54</f>
        <v>355.70018823529415</v>
      </c>
      <c r="N54" t="s">
        <v>312</v>
      </c>
    </row>
    <row r="55" spans="1:14" x14ac:dyDescent="0.45">
      <c r="E55" s="104"/>
      <c r="F55" s="104"/>
      <c r="H55" s="104"/>
      <c r="I55" s="104"/>
      <c r="J55" s="104"/>
      <c r="K55" s="104"/>
      <c r="L55" s="104"/>
      <c r="M55" s="104"/>
    </row>
    <row r="57" spans="1:14" ht="20.5" thickBot="1" x14ac:dyDescent="0.6">
      <c r="A57" s="44" t="s">
        <v>348</v>
      </c>
      <c r="E57" s="5" t="s">
        <v>313</v>
      </c>
      <c r="F57" s="5" t="s">
        <v>314</v>
      </c>
      <c r="G57" s="5" t="s">
        <v>315</v>
      </c>
      <c r="H57" s="5" t="s">
        <v>316</v>
      </c>
      <c r="I57" s="5" t="s">
        <v>317</v>
      </c>
      <c r="J57" s="5" t="s">
        <v>318</v>
      </c>
      <c r="K57" s="5" t="s">
        <v>319</v>
      </c>
    </row>
    <row r="58" spans="1:14" ht="17" thickTop="1" x14ac:dyDescent="0.45">
      <c r="A58" s="101" t="s">
        <v>349</v>
      </c>
      <c r="B58" s="101" t="s">
        <v>295</v>
      </c>
      <c r="C58" s="101" t="s">
        <v>296</v>
      </c>
      <c r="E58" s="101"/>
      <c r="F58" s="101">
        <v>0.05</v>
      </c>
      <c r="G58" s="103">
        <f>(F58*'Biologinen panostuotos'!$B$7)</f>
        <v>0.60000000000000009</v>
      </c>
      <c r="H58" s="101"/>
      <c r="I58" s="101"/>
      <c r="J58" s="101">
        <v>0.1</v>
      </c>
      <c r="K58" s="101">
        <v>0.1</v>
      </c>
      <c r="M58" s="113">
        <f>(E58+(G58*G$8)+H58*H$8+I58*I$8+J58*J$8+K58*K$8)</f>
        <v>118.08762734300994</v>
      </c>
      <c r="N58" t="s">
        <v>312</v>
      </c>
    </row>
    <row r="60" spans="1:14" x14ac:dyDescent="0.45">
      <c r="A60" s="101" t="s">
        <v>350</v>
      </c>
      <c r="B60" s="101" t="s">
        <v>351</v>
      </c>
      <c r="C60" s="101" t="s">
        <v>352</v>
      </c>
      <c r="E60" s="101"/>
      <c r="F60" s="101"/>
      <c r="G60" s="103">
        <f>(F60*'Biologinen panostuotos'!$B$7)</f>
        <v>0</v>
      </c>
      <c r="H60" s="101"/>
      <c r="I60" s="101"/>
      <c r="J60" s="101"/>
      <c r="K60" s="101"/>
      <c r="L60" s="104"/>
      <c r="M60" s="113">
        <f>(E60+(G60*G$8)+H60*H$8+I60*I$8+J60*J$8+K60*K$8)</f>
        <v>0</v>
      </c>
      <c r="N60" t="s">
        <v>312</v>
      </c>
    </row>
    <row r="62" spans="1:14" x14ac:dyDescent="0.45">
      <c r="A62" s="101" t="s">
        <v>350</v>
      </c>
      <c r="B62" s="101" t="s">
        <v>351</v>
      </c>
      <c r="C62" s="101" t="s">
        <v>352</v>
      </c>
      <c r="E62" s="101"/>
      <c r="F62" s="101"/>
      <c r="G62" s="103">
        <f>(F62*'Biologinen panostuotos'!$B$7)</f>
        <v>0</v>
      </c>
      <c r="H62" s="101"/>
      <c r="I62" s="101"/>
      <c r="J62" s="101"/>
      <c r="K62" s="101"/>
      <c r="L62" s="104"/>
      <c r="M62" s="113">
        <f>(E62+(G62*G$8)+H62*H$8+I62*I$8+J62*J$8+K62*K$8)</f>
        <v>0</v>
      </c>
      <c r="N62" t="s">
        <v>312</v>
      </c>
    </row>
    <row r="64" spans="1:14" x14ac:dyDescent="0.45">
      <c r="A64" s="101" t="s">
        <v>350</v>
      </c>
      <c r="B64" s="101" t="s">
        <v>351</v>
      </c>
      <c r="C64" s="101" t="s">
        <v>352</v>
      </c>
      <c r="E64" s="101"/>
      <c r="F64" s="101"/>
      <c r="G64" s="103">
        <f>(F64*'Biologinen panostuotos'!$B$7)</f>
        <v>0</v>
      </c>
      <c r="H64" s="101"/>
      <c r="I64" s="101"/>
      <c r="J64" s="101"/>
      <c r="K64" s="101"/>
      <c r="L64" s="104"/>
      <c r="M64" s="113">
        <f>(E64+(G64*G$8)+H64*H$8+I64*I$8+J64*J$8+K64*K$8)</f>
        <v>0</v>
      </c>
      <c r="N64" t="s">
        <v>312</v>
      </c>
    </row>
    <row r="66" spans="1:14" x14ac:dyDescent="0.45">
      <c r="A66" s="101" t="s">
        <v>350</v>
      </c>
      <c r="B66" s="101" t="s">
        <v>351</v>
      </c>
      <c r="C66" s="101" t="s">
        <v>352</v>
      </c>
      <c r="E66" s="101"/>
      <c r="F66" s="101"/>
      <c r="G66" s="103">
        <f>(F66*'Biologinen panostuotos'!$B$7)</f>
        <v>0</v>
      </c>
      <c r="H66" s="101"/>
      <c r="I66" s="101"/>
      <c r="J66" s="101"/>
      <c r="K66" s="101"/>
      <c r="L66" s="104"/>
      <c r="M66" s="113">
        <f>(E66+(G66*G$8)+H66*H$8+I66*I$8+J66*J$8+K66*K$8)</f>
        <v>0</v>
      </c>
      <c r="N66" t="s">
        <v>312</v>
      </c>
    </row>
    <row r="68" spans="1:14" x14ac:dyDescent="0.45">
      <c r="A68" s="101" t="s">
        <v>350</v>
      </c>
      <c r="B68" s="101" t="s">
        <v>351</v>
      </c>
      <c r="C68" s="101" t="s">
        <v>352</v>
      </c>
      <c r="E68" s="101"/>
      <c r="F68" s="101"/>
      <c r="G68" s="103">
        <f>(F68*'Biologinen panostuotos'!$B$7)</f>
        <v>0</v>
      </c>
      <c r="H68" s="101"/>
      <c r="I68" s="101"/>
      <c r="J68" s="101"/>
      <c r="K68" s="101"/>
      <c r="L68" s="104"/>
      <c r="M68" s="113">
        <f>(E68+(G68*G$8)+H68*H$8+I68*I$8+J68*J$8+K68*K$8)</f>
        <v>0</v>
      </c>
      <c r="N68" t="s">
        <v>312</v>
      </c>
    </row>
    <row r="69" spans="1:14" x14ac:dyDescent="0.45">
      <c r="M69" s="104"/>
    </row>
    <row r="71" spans="1:14" ht="20.5" thickBot="1" x14ac:dyDescent="0.6">
      <c r="A71" s="44" t="s">
        <v>353</v>
      </c>
      <c r="B71" s="5" t="s">
        <v>275</v>
      </c>
      <c r="C71" s="5" t="s">
        <v>276</v>
      </c>
      <c r="D71" s="5" t="s">
        <v>322</v>
      </c>
      <c r="F71" s="5" t="s">
        <v>354</v>
      </c>
      <c r="G71" s="5"/>
      <c r="H71" s="5"/>
      <c r="I71" s="5"/>
      <c r="J71" s="5"/>
      <c r="K71" s="5"/>
      <c r="L71" s="104"/>
    </row>
    <row r="72" spans="1:14" ht="17" thickTop="1" x14ac:dyDescent="0.45">
      <c r="B72" s="101" t="s">
        <v>286</v>
      </c>
      <c r="C72" s="101" t="s">
        <v>286</v>
      </c>
      <c r="D72" s="101">
        <v>7</v>
      </c>
      <c r="F72" s="116">
        <v>1E-3</v>
      </c>
      <c r="G72" s="104"/>
      <c r="H72" s="5"/>
      <c r="I72" s="5"/>
      <c r="J72" s="5"/>
      <c r="K72" s="5"/>
      <c r="L72" s="104">
        <f>(F72*F$8)</f>
        <v>2.3376623376623376</v>
      </c>
      <c r="M72" s="113">
        <f>L72*D$72</f>
        <v>16.363636363636363</v>
      </c>
      <c r="N72" t="s">
        <v>312</v>
      </c>
    </row>
    <row r="73" spans="1:14" x14ac:dyDescent="0.45">
      <c r="F73" s="117"/>
      <c r="H73" s="5"/>
      <c r="I73" s="5"/>
      <c r="J73" s="5"/>
      <c r="K73" s="5"/>
      <c r="L73" s="104"/>
    </row>
    <row r="75" spans="1:14" x14ac:dyDescent="0.45">
      <c r="E75" s="107" t="s">
        <v>355</v>
      </c>
      <c r="F75" s="158"/>
      <c r="G75" s="158"/>
      <c r="H75" s="158"/>
    </row>
    <row r="76" spans="1:14" ht="23" thickBot="1" x14ac:dyDescent="0.65">
      <c r="A76" s="115" t="s">
        <v>356</v>
      </c>
    </row>
    <row r="77" spans="1:14" ht="17" thickTop="1" x14ac:dyDescent="0.45">
      <c r="A77" t="s">
        <v>357</v>
      </c>
      <c r="B77" s="103">
        <f>M17</f>
        <v>2107.018650577053</v>
      </c>
      <c r="E77" s="108"/>
    </row>
    <row r="78" spans="1:14" x14ac:dyDescent="0.45">
      <c r="A78" t="s">
        <v>320</v>
      </c>
      <c r="B78" s="103">
        <f>M19</f>
        <v>2337.6623376623374</v>
      </c>
      <c r="E78" s="108"/>
    </row>
    <row r="79" spans="1:14" x14ac:dyDescent="0.45">
      <c r="A79" t="s">
        <v>358</v>
      </c>
      <c r="B79" s="103">
        <f>M46</f>
        <v>1378.1601810481282</v>
      </c>
    </row>
    <row r="80" spans="1:14" x14ac:dyDescent="0.45">
      <c r="A80" t="s">
        <v>393</v>
      </c>
      <c r="B80" s="103">
        <f>M68+M66+M64+M62+M60+M58+M54+M72</f>
        <v>490.15145194194048</v>
      </c>
    </row>
    <row r="81" spans="1:11" x14ac:dyDescent="0.45">
      <c r="A81" t="s">
        <v>359</v>
      </c>
      <c r="B81" s="103">
        <f>SUM(B77:B80)</f>
        <v>6312.9926212294586</v>
      </c>
    </row>
    <row r="86" spans="1:11" x14ac:dyDescent="0.45">
      <c r="K86" s="108"/>
    </row>
    <row r="87" spans="1:11" x14ac:dyDescent="0.45">
      <c r="E87" s="4"/>
      <c r="K87" s="108"/>
    </row>
    <row r="88" spans="1:11" x14ac:dyDescent="0.45">
      <c r="E88" s="4"/>
      <c r="H88" s="5"/>
      <c r="K88" s="108"/>
    </row>
    <row r="89" spans="1:11" x14ac:dyDescent="0.45">
      <c r="E89" s="4"/>
      <c r="F89" s="104"/>
      <c r="G89" s="104"/>
      <c r="H89" s="103"/>
      <c r="K89" s="108"/>
    </row>
    <row r="90" spans="1:11" x14ac:dyDescent="0.45">
      <c r="C90" s="103"/>
      <c r="E90" s="4"/>
      <c r="F90" s="104"/>
      <c r="G90" s="104"/>
    </row>
    <row r="91" spans="1:11" x14ac:dyDescent="0.45">
      <c r="C91" s="103"/>
      <c r="E91" s="4"/>
      <c r="F91" s="104"/>
      <c r="G91" s="104"/>
      <c r="H91" s="103"/>
      <c r="K91" s="108"/>
    </row>
    <row r="92" spans="1:11" x14ac:dyDescent="0.45">
      <c r="C92" s="103"/>
      <c r="E92" s="4"/>
      <c r="F92" s="104"/>
      <c r="G92" s="104"/>
      <c r="H92" s="103"/>
      <c r="K92" s="108"/>
    </row>
    <row r="93" spans="1:11" x14ac:dyDescent="0.45">
      <c r="C93" s="103"/>
      <c r="E93" s="4"/>
      <c r="F93" s="104"/>
      <c r="G93" s="104"/>
      <c r="H93" s="103"/>
      <c r="K93" s="108"/>
    </row>
    <row r="94" spans="1:11" x14ac:dyDescent="0.45">
      <c r="E94" s="4"/>
      <c r="F94" s="104"/>
      <c r="G94" s="104"/>
      <c r="H94" s="103"/>
      <c r="K94" s="108"/>
    </row>
    <row r="95" spans="1:11" x14ac:dyDescent="0.45">
      <c r="E95" s="4"/>
      <c r="F95" s="104"/>
      <c r="G95" s="104"/>
      <c r="H95" s="103"/>
      <c r="K95" s="108"/>
    </row>
    <row r="96" spans="1:11" x14ac:dyDescent="0.45">
      <c r="E96" s="4"/>
      <c r="F96" s="104"/>
      <c r="K96" s="108"/>
    </row>
    <row r="97" spans="5:11" x14ac:dyDescent="0.45">
      <c r="E97" s="4"/>
      <c r="F97" s="104"/>
      <c r="G97" s="104"/>
      <c r="H97" s="103"/>
      <c r="K97" s="108"/>
    </row>
    <row r="98" spans="5:11" x14ac:dyDescent="0.45">
      <c r="E98" s="4"/>
      <c r="F98" s="104"/>
      <c r="G98" s="104"/>
      <c r="H98" s="103"/>
      <c r="K98" s="108"/>
    </row>
    <row r="99" spans="5:11" x14ac:dyDescent="0.45">
      <c r="E99" s="4"/>
      <c r="F99" s="104"/>
      <c r="G99" s="104"/>
      <c r="H99" s="103"/>
      <c r="K99" s="108"/>
    </row>
    <row r="100" spans="5:11" x14ac:dyDescent="0.45">
      <c r="E100" s="4"/>
      <c r="F100" s="104"/>
      <c r="G100" s="104"/>
      <c r="H100" s="103"/>
      <c r="K100" s="108"/>
    </row>
    <row r="101" spans="5:11" x14ac:dyDescent="0.45">
      <c r="E101" s="4"/>
      <c r="F101" s="104"/>
      <c r="G101" s="104"/>
      <c r="H101" s="103"/>
      <c r="K101" s="108"/>
    </row>
    <row r="102" spans="5:11" x14ac:dyDescent="0.45">
      <c r="E102" s="4"/>
      <c r="F102" s="104"/>
      <c r="G102" s="104"/>
      <c r="H102" s="103"/>
      <c r="K102" s="108"/>
    </row>
    <row r="103" spans="5:11" x14ac:dyDescent="0.45">
      <c r="E103" s="4"/>
      <c r="F103" s="104"/>
      <c r="G103" s="104"/>
      <c r="H103" s="103"/>
      <c r="K103" s="108"/>
    </row>
    <row r="104" spans="5:11" x14ac:dyDescent="0.45">
      <c r="E104" s="4"/>
      <c r="F104" s="104"/>
      <c r="G104" s="104"/>
      <c r="H104" s="103"/>
      <c r="K104" s="108"/>
    </row>
    <row r="105" spans="5:11" x14ac:dyDescent="0.45">
      <c r="F105" s="104"/>
      <c r="G105" s="104"/>
      <c r="H105" s="103"/>
      <c r="K105" s="108"/>
    </row>
    <row r="106" spans="5:11" x14ac:dyDescent="0.45">
      <c r="F106" s="104"/>
      <c r="G106" s="104"/>
      <c r="H106" s="103"/>
      <c r="K106" s="108"/>
    </row>
    <row r="107" spans="5:11" x14ac:dyDescent="0.45">
      <c r="F107" s="104"/>
      <c r="G107" s="104"/>
      <c r="H107" s="103"/>
      <c r="K107" s="108"/>
    </row>
    <row r="108" spans="5:11" x14ac:dyDescent="0.45">
      <c r="F108" s="104"/>
      <c r="G108" s="104"/>
      <c r="H108" s="103"/>
      <c r="K108" s="108"/>
    </row>
    <row r="109" spans="5:11" x14ac:dyDescent="0.45">
      <c r="F109" s="104"/>
      <c r="G109" s="104"/>
      <c r="H109" s="104"/>
      <c r="I109" s="104"/>
      <c r="J109" s="104"/>
    </row>
    <row r="110" spans="5:11" x14ac:dyDescent="0.45">
      <c r="F110" s="104"/>
      <c r="G110" s="104"/>
      <c r="H110" s="104"/>
      <c r="I110" s="104"/>
      <c r="J110" s="104"/>
    </row>
    <row r="111" spans="5:11" x14ac:dyDescent="0.45">
      <c r="F111" s="104"/>
      <c r="G111" s="104"/>
      <c r="H111" s="104"/>
      <c r="I111" s="104"/>
      <c r="J111" s="104"/>
    </row>
    <row r="112" spans="5:11" x14ac:dyDescent="0.45">
      <c r="F112" s="104"/>
      <c r="G112" s="104"/>
      <c r="H112" s="104"/>
      <c r="I112" s="104"/>
      <c r="J112" s="104"/>
    </row>
    <row r="113" spans="6:12" x14ac:dyDescent="0.45">
      <c r="F113" s="104"/>
      <c r="G113" s="104"/>
      <c r="H113" s="104"/>
      <c r="I113" s="104"/>
      <c r="J113" s="104"/>
    </row>
    <row r="114" spans="6:12" x14ac:dyDescent="0.45">
      <c r="F114" s="104"/>
      <c r="G114" s="104"/>
      <c r="H114" s="104"/>
      <c r="I114" s="104"/>
      <c r="J114" s="104"/>
    </row>
    <row r="115" spans="6:12" x14ac:dyDescent="0.45">
      <c r="F115" s="104"/>
      <c r="G115" s="104"/>
      <c r="H115" s="104"/>
      <c r="I115" s="104"/>
      <c r="J115" s="104"/>
      <c r="K115" s="4"/>
    </row>
    <row r="116" spans="6:12" x14ac:dyDescent="0.45">
      <c r="F116" s="104"/>
      <c r="G116" s="104"/>
      <c r="H116" s="104"/>
      <c r="I116" s="104"/>
      <c r="J116" s="104"/>
      <c r="L116" s="104"/>
    </row>
    <row r="117" spans="6:12" x14ac:dyDescent="0.45">
      <c r="F117" s="104"/>
      <c r="G117" s="104"/>
      <c r="H117" s="104"/>
      <c r="I117" s="104"/>
      <c r="J117" s="104"/>
    </row>
    <row r="118" spans="6:12" x14ac:dyDescent="0.45">
      <c r="F118" s="104"/>
      <c r="G118" s="104"/>
      <c r="H118" s="104"/>
      <c r="I118" s="104"/>
      <c r="J118" s="104"/>
    </row>
    <row r="119" spans="6:12" x14ac:dyDescent="0.45">
      <c r="F119" s="104"/>
      <c r="G119" s="104"/>
      <c r="H119" s="103"/>
    </row>
    <row r="120" spans="6:12" x14ac:dyDescent="0.45">
      <c r="F120" s="104"/>
      <c r="G120" s="104"/>
    </row>
    <row r="121" spans="6:12" x14ac:dyDescent="0.45">
      <c r="H121" s="5"/>
      <c r="K121" s="108"/>
    </row>
    <row r="122" spans="6:12" x14ac:dyDescent="0.45">
      <c r="H122" s="5"/>
      <c r="K122" s="108"/>
    </row>
    <row r="123" spans="6:12" x14ac:dyDescent="0.45">
      <c r="H123" s="5"/>
      <c r="K123" s="108"/>
    </row>
    <row r="124" spans="6:12" x14ac:dyDescent="0.45">
      <c r="H124" s="103"/>
      <c r="K124" s="108"/>
    </row>
    <row r="126" spans="6:12" x14ac:dyDescent="0.45">
      <c r="H126" s="103"/>
      <c r="K126" s="108"/>
    </row>
    <row r="127" spans="6:12" x14ac:dyDescent="0.45">
      <c r="H127" s="103"/>
      <c r="K127" s="108"/>
    </row>
    <row r="128" spans="6:12" x14ac:dyDescent="0.45">
      <c r="H128" s="104"/>
      <c r="I128" s="104"/>
      <c r="J128" s="104"/>
    </row>
  </sheetData>
  <conditionalFormatting sqref="M11:M16"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  <cfRule type="colorScale" priority="8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M12">
    <cfRule type="colorScale" priority="7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M13">
    <cfRule type="colorScale" priority="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M14">
    <cfRule type="colorScale" priority="5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M15">
    <cfRule type="colorScale" priority="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M16">
    <cfRule type="colorScale" priority="3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M23:M45">
    <cfRule type="colorScale" priority="10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M49:M53">
    <cfRule type="colorScale" priority="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0CFAC-2750-4280-98AF-FCA528B72D8E}">
  <dimension ref="A1:K25"/>
  <sheetViews>
    <sheetView workbookViewId="0">
      <selection activeCell="A9" sqref="A9"/>
    </sheetView>
  </sheetViews>
  <sheetFormatPr defaultRowHeight="16.5" x14ac:dyDescent="0.45"/>
  <cols>
    <col min="1" max="1" width="35.1640625" customWidth="1"/>
    <col min="3" max="3" width="20.25" customWidth="1"/>
    <col min="4" max="4" width="22.9140625" customWidth="1"/>
    <col min="5" max="5" width="7.25" customWidth="1"/>
    <col min="6" max="6" width="18.25" customWidth="1"/>
  </cols>
  <sheetData>
    <row r="1" spans="1:11" x14ac:dyDescent="0.45">
      <c r="A1" s="89" t="s">
        <v>360</v>
      </c>
      <c r="H1" s="156"/>
      <c r="I1" s="156"/>
      <c r="J1" s="156"/>
      <c r="K1" s="149"/>
    </row>
    <row r="2" spans="1:11" s="5" customFormat="1" x14ac:dyDescent="0.45">
      <c r="A2" s="5" t="s">
        <v>361</v>
      </c>
      <c r="B2" s="5">
        <f>'Biologinen panostuotos'!B85</f>
        <v>12</v>
      </c>
      <c r="G2" s="5" t="s">
        <v>362</v>
      </c>
      <c r="H2" s="156"/>
      <c r="I2" s="156"/>
      <c r="J2" s="156"/>
      <c r="K2" s="156"/>
    </row>
    <row r="3" spans="1:11" x14ac:dyDescent="0.45">
      <c r="D3" s="104"/>
      <c r="E3" s="104"/>
      <c r="F3" s="103"/>
      <c r="H3" s="157"/>
      <c r="I3" s="149"/>
      <c r="J3" s="149"/>
      <c r="K3" s="149"/>
    </row>
    <row r="4" spans="1:11" x14ac:dyDescent="0.45">
      <c r="D4" s="104"/>
      <c r="E4" s="104"/>
      <c r="F4" s="103"/>
    </row>
    <row r="5" spans="1:11" x14ac:dyDescent="0.45">
      <c r="D5" s="104"/>
      <c r="E5" s="104"/>
      <c r="F5" s="103"/>
    </row>
    <row r="6" spans="1:11" x14ac:dyDescent="0.45">
      <c r="D6" s="104"/>
      <c r="E6" s="104"/>
      <c r="F6" s="103"/>
    </row>
    <row r="7" spans="1:11" x14ac:dyDescent="0.45">
      <c r="D7" s="104"/>
      <c r="E7" s="104"/>
      <c r="F7" s="103"/>
    </row>
    <row r="8" spans="1:11" x14ac:dyDescent="0.45">
      <c r="D8" s="104"/>
      <c r="E8" s="104"/>
      <c r="F8" s="103"/>
    </row>
    <row r="9" spans="1:11" x14ac:dyDescent="0.45">
      <c r="D9" s="104"/>
      <c r="E9" s="104"/>
      <c r="F9" s="103"/>
    </row>
    <row r="10" spans="1:11" x14ac:dyDescent="0.45">
      <c r="D10" s="104"/>
      <c r="E10" s="104"/>
      <c r="F10" s="103"/>
    </row>
    <row r="11" spans="1:11" x14ac:dyDescent="0.45">
      <c r="D11" s="104"/>
      <c r="E11" s="104"/>
      <c r="F11" s="103"/>
    </row>
    <row r="12" spans="1:11" x14ac:dyDescent="0.45">
      <c r="D12" s="104"/>
      <c r="E12" s="104"/>
      <c r="F12" s="103"/>
    </row>
    <row r="13" spans="1:11" x14ac:dyDescent="0.45">
      <c r="D13" s="104"/>
      <c r="E13" s="104"/>
      <c r="F13" s="103"/>
    </row>
    <row r="14" spans="1:11" x14ac:dyDescent="0.45">
      <c r="D14" s="104"/>
      <c r="E14" s="104"/>
      <c r="F14" s="103"/>
    </row>
    <row r="15" spans="1:11" x14ac:dyDescent="0.45">
      <c r="D15" s="104"/>
      <c r="E15" s="104"/>
      <c r="F15" s="103"/>
    </row>
    <row r="16" spans="1:11" x14ac:dyDescent="0.45">
      <c r="D16" s="104"/>
      <c r="E16" s="104"/>
      <c r="F16" s="103"/>
    </row>
    <row r="17" spans="4:6" x14ac:dyDescent="0.45">
      <c r="D17" s="104"/>
      <c r="E17" s="104"/>
      <c r="F17" s="103"/>
    </row>
    <row r="18" spans="4:6" x14ac:dyDescent="0.45">
      <c r="D18" s="104"/>
      <c r="E18" s="104"/>
      <c r="F18" s="103"/>
    </row>
    <row r="19" spans="4:6" x14ac:dyDescent="0.45">
      <c r="D19" s="104"/>
      <c r="E19" s="104"/>
      <c r="F19" s="103"/>
    </row>
    <row r="20" spans="4:6" x14ac:dyDescent="0.45">
      <c r="D20" s="104"/>
      <c r="E20" s="104"/>
      <c r="F20" s="103"/>
    </row>
    <row r="21" spans="4:6" x14ac:dyDescent="0.45">
      <c r="D21" s="104"/>
      <c r="E21" s="104"/>
      <c r="F21" s="103"/>
    </row>
    <row r="22" spans="4:6" x14ac:dyDescent="0.45">
      <c r="D22" s="104"/>
      <c r="E22" s="104"/>
      <c r="F22" s="103"/>
    </row>
    <row r="23" spans="4:6" x14ac:dyDescent="0.45">
      <c r="D23" s="104"/>
      <c r="E23" s="104"/>
      <c r="F23" s="103"/>
    </row>
    <row r="24" spans="4:6" x14ac:dyDescent="0.45">
      <c r="D24" s="104"/>
      <c r="E24" s="104"/>
      <c r="F24" s="103"/>
    </row>
    <row r="25" spans="4:6" x14ac:dyDescent="0.45">
      <c r="D25" s="104"/>
      <c r="E25" s="104"/>
    </row>
  </sheetData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AD382-6D20-492E-8CCC-A9E76D07CD7C}">
  <dimension ref="A1:E22"/>
  <sheetViews>
    <sheetView topLeftCell="A9" workbookViewId="0">
      <selection activeCell="A18" sqref="A18"/>
    </sheetView>
  </sheetViews>
  <sheetFormatPr defaultRowHeight="16.5" x14ac:dyDescent="0.45"/>
  <cols>
    <col min="1" max="1" width="19.1640625" customWidth="1"/>
    <col min="2" max="2" width="14.9140625" customWidth="1"/>
    <col min="3" max="3" width="12.5" customWidth="1"/>
  </cols>
  <sheetData>
    <row r="1" spans="1:5" x14ac:dyDescent="0.45">
      <c r="B1" t="s">
        <v>363</v>
      </c>
      <c r="C1" s="2">
        <v>10</v>
      </c>
      <c r="D1" t="s">
        <v>364</v>
      </c>
    </row>
    <row r="2" spans="1:5" x14ac:dyDescent="0.45">
      <c r="B2" t="s">
        <v>365</v>
      </c>
      <c r="C2" s="3">
        <v>0.05</v>
      </c>
    </row>
    <row r="5" spans="1:5" x14ac:dyDescent="0.45">
      <c r="A5" t="s">
        <v>366</v>
      </c>
      <c r="B5" t="s">
        <v>367</v>
      </c>
      <c r="C5" s="106">
        <v>350</v>
      </c>
      <c r="D5" s="105" t="s">
        <v>368</v>
      </c>
    </row>
    <row r="6" spans="1:5" x14ac:dyDescent="0.45">
      <c r="C6" s="103">
        <f>C5*'Biologinen panostuotos'!B5</f>
        <v>35000</v>
      </c>
      <c r="D6">
        <f>'Biologinen panostuotos'!B5</f>
        <v>100</v>
      </c>
      <c r="E6" t="s">
        <v>369</v>
      </c>
    </row>
    <row r="7" spans="1:5" x14ac:dyDescent="0.45">
      <c r="B7" t="s">
        <v>365</v>
      </c>
      <c r="C7" s="3">
        <v>0.05</v>
      </c>
    </row>
    <row r="8" spans="1:5" x14ac:dyDescent="0.45">
      <c r="B8" t="s">
        <v>370</v>
      </c>
      <c r="C8" s="2">
        <v>10</v>
      </c>
      <c r="D8" t="s">
        <v>364</v>
      </c>
    </row>
    <row r="9" spans="1:5" x14ac:dyDescent="0.45">
      <c r="B9" t="s">
        <v>371</v>
      </c>
      <c r="C9" s="3">
        <v>0.03</v>
      </c>
      <c r="D9" t="s">
        <v>372</v>
      </c>
      <c r="E9" s="4"/>
    </row>
    <row r="11" spans="1:5" x14ac:dyDescent="0.45">
      <c r="A11" t="s">
        <v>373</v>
      </c>
      <c r="B11" t="s">
        <v>367</v>
      </c>
      <c r="C11" s="106">
        <v>300000</v>
      </c>
      <c r="D11" s="105"/>
    </row>
    <row r="12" spans="1:5" x14ac:dyDescent="0.45">
      <c r="B12" t="s">
        <v>365</v>
      </c>
      <c r="C12" s="3">
        <v>0.05</v>
      </c>
    </row>
    <row r="13" spans="1:5" x14ac:dyDescent="0.45">
      <c r="B13" t="s">
        <v>370</v>
      </c>
      <c r="C13" s="2">
        <v>10</v>
      </c>
      <c r="D13" t="s">
        <v>364</v>
      </c>
    </row>
    <row r="14" spans="1:5" x14ac:dyDescent="0.45">
      <c r="B14" t="s">
        <v>371</v>
      </c>
      <c r="C14" s="3">
        <v>0.05</v>
      </c>
      <c r="D14" t="s">
        <v>372</v>
      </c>
    </row>
    <row r="19" spans="1:4" x14ac:dyDescent="0.45">
      <c r="A19" s="156"/>
      <c r="B19" s="156"/>
      <c r="C19" s="156"/>
      <c r="D19" s="149"/>
    </row>
    <row r="20" spans="1:4" x14ac:dyDescent="0.45">
      <c r="A20" s="156"/>
      <c r="B20" s="156"/>
      <c r="C20" s="156"/>
      <c r="D20" s="149"/>
    </row>
    <row r="21" spans="1:4" x14ac:dyDescent="0.45">
      <c r="A21" s="157"/>
      <c r="B21" s="149"/>
      <c r="C21" s="149"/>
      <c r="D21" s="149"/>
    </row>
    <row r="22" spans="1:4" x14ac:dyDescent="0.45">
      <c r="A22" s="149"/>
      <c r="B22" s="149"/>
      <c r="C22" s="149"/>
      <c r="D22" s="14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3F209-CDB3-48A7-BA00-01A983174E12}">
  <dimension ref="A1:E17"/>
  <sheetViews>
    <sheetView workbookViewId="0">
      <selection activeCell="D14" sqref="D14"/>
    </sheetView>
  </sheetViews>
  <sheetFormatPr defaultRowHeight="16.5" x14ac:dyDescent="0.45"/>
  <cols>
    <col min="1" max="1" width="18.4140625" customWidth="1"/>
  </cols>
  <sheetData>
    <row r="1" spans="1:5" ht="17.5" x14ac:dyDescent="0.45">
      <c r="A1" s="145" t="s">
        <v>374</v>
      </c>
    </row>
    <row r="3" spans="1:5" x14ac:dyDescent="0.45">
      <c r="A3" s="5" t="s">
        <v>375</v>
      </c>
    </row>
    <row r="4" spans="1:5" x14ac:dyDescent="0.45">
      <c r="A4" t="s">
        <v>376</v>
      </c>
      <c r="B4" s="103">
        <v>1</v>
      </c>
      <c r="C4" t="s">
        <v>377</v>
      </c>
      <c r="E4" t="s">
        <v>378</v>
      </c>
    </row>
    <row r="5" spans="1:5" x14ac:dyDescent="0.45">
      <c r="A5" s="7" t="s">
        <v>379</v>
      </c>
      <c r="B5" s="118">
        <v>1</v>
      </c>
      <c r="C5" s="7" t="s">
        <v>377</v>
      </c>
    </row>
    <row r="6" spans="1:5" x14ac:dyDescent="0.45">
      <c r="A6" t="s">
        <v>233</v>
      </c>
      <c r="B6" s="103">
        <v>1</v>
      </c>
      <c r="C6" t="s">
        <v>377</v>
      </c>
    </row>
    <row r="7" spans="1:5" x14ac:dyDescent="0.45">
      <c r="A7" t="s">
        <v>380</v>
      </c>
      <c r="B7" s="103">
        <v>1</v>
      </c>
      <c r="C7" t="s">
        <v>377</v>
      </c>
    </row>
    <row r="12" spans="1:5" x14ac:dyDescent="0.45">
      <c r="A12" s="149"/>
      <c r="B12" s="149"/>
      <c r="C12" s="149"/>
    </row>
    <row r="13" spans="1:5" x14ac:dyDescent="0.45">
      <c r="A13" s="156"/>
      <c r="B13" s="156"/>
      <c r="C13" s="156"/>
    </row>
    <row r="14" spans="1:5" x14ac:dyDescent="0.45">
      <c r="A14" s="156"/>
      <c r="B14" s="156"/>
      <c r="C14" s="156"/>
    </row>
    <row r="15" spans="1:5" x14ac:dyDescent="0.45">
      <c r="A15" s="157"/>
      <c r="B15" s="149"/>
      <c r="C15" s="149"/>
    </row>
    <row r="16" spans="1:5" x14ac:dyDescent="0.45">
      <c r="A16" s="149"/>
      <c r="B16" s="149"/>
      <c r="C16" s="149"/>
    </row>
    <row r="17" spans="1:3" x14ac:dyDescent="0.45">
      <c r="A17" s="149"/>
      <c r="B17" s="149"/>
      <c r="C17" s="14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11a596-841e-4e64-9d51-16579922495b">
      <Terms xmlns="http://schemas.microsoft.com/office/infopath/2007/PartnerControls"/>
    </lcf76f155ced4ddcb4097134ff3c332f>
    <TaxCatchAll xmlns="5a6f5699-5bb3-40c3-a3d2-ac9fd1bcba4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568298D0EEF14CA2D35F31049DE4A1" ma:contentTypeVersion="12" ma:contentTypeDescription="Create a new document." ma:contentTypeScope="" ma:versionID="06fe99f7d7ac1df1dfb5e4bd81879548">
  <xsd:schema xmlns:xsd="http://www.w3.org/2001/XMLSchema" xmlns:xs="http://www.w3.org/2001/XMLSchema" xmlns:p="http://schemas.microsoft.com/office/2006/metadata/properties" xmlns:ns2="0c11a596-841e-4e64-9d51-16579922495b" xmlns:ns3="5a6f5699-5bb3-40c3-a3d2-ac9fd1bcba4f" targetNamespace="http://schemas.microsoft.com/office/2006/metadata/properties" ma:root="true" ma:fieldsID="70783b4059422c4a127f36b3e01c2e30" ns2:_="" ns3:_="">
    <xsd:import namespace="0c11a596-841e-4e64-9d51-16579922495b"/>
    <xsd:import namespace="5a6f5699-5bb3-40c3-a3d2-ac9fd1bcba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11a596-841e-4e64-9d51-1657992249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95fa535-6bc0-41a5-b9d9-f1c35ec2e0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f5699-5bb3-40c3-a3d2-ac9fd1bcba4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d2fca02-4f79-4027-80c1-58241c57a302}" ma:internalName="TaxCatchAll" ma:showField="CatchAllData" ma:web="5a6f5699-5bb3-40c3-a3d2-ac9fd1bcba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D20DBA-3ACA-471A-8582-AA89DEE145D2}">
  <ds:schemaRefs>
    <ds:schemaRef ds:uri="http://schemas.microsoft.com/office/2006/metadata/properties"/>
    <ds:schemaRef ds:uri="http://schemas.microsoft.com/office/infopath/2007/PartnerControls"/>
    <ds:schemaRef ds:uri="0c11a596-841e-4e64-9d51-16579922495b"/>
    <ds:schemaRef ds:uri="5a6f5699-5bb3-40c3-a3d2-ac9fd1bcba4f"/>
  </ds:schemaRefs>
</ds:datastoreItem>
</file>

<file path=customXml/itemProps2.xml><?xml version="1.0" encoding="utf-8"?>
<ds:datastoreItem xmlns:ds="http://schemas.openxmlformats.org/officeDocument/2006/customXml" ds:itemID="{FCA5804E-C253-4265-A419-165649998A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070303-6F1F-42BB-868D-90A45DE719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11a596-841e-4e64-9d51-16579922495b"/>
    <ds:schemaRef ds:uri="5a6f5699-5bb3-40c3-a3d2-ac9fd1bcba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c14dfa4-c0fc-4725-9f04-76a443deb095}" enabled="0" method="" siteId="{7c14dfa4-c0fc-4725-9f04-76a443deb09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9</vt:i4>
      </vt:variant>
    </vt:vector>
  </HeadingPairs>
  <TitlesOfParts>
    <vt:vector size="9" baseType="lpstr">
      <vt:lpstr>Kansilehti</vt:lpstr>
      <vt:lpstr>Resepti</vt:lpstr>
      <vt:lpstr>Biologinen tehokkuus</vt:lpstr>
      <vt:lpstr>Biologinen panostuotos</vt:lpstr>
      <vt:lpstr>Työmäärä (kk)</vt:lpstr>
      <vt:lpstr>Materiaalit (kk)</vt:lpstr>
      <vt:lpstr>Muuttuvat kulut (v)</vt:lpstr>
      <vt:lpstr>Kiinteät kulut (v)</vt:lpstr>
      <vt:lpstr>Tulot (v)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Tapio Miika (LUKE)</dc:creator>
  <cp:keywords/>
  <dc:description/>
  <cp:lastModifiedBy>Marnila Pertti (LUKE)</cp:lastModifiedBy>
  <cp:revision/>
  <dcterms:created xsi:type="dcterms:W3CDTF">2024-07-15T09:47:40Z</dcterms:created>
  <dcterms:modified xsi:type="dcterms:W3CDTF">2025-10-20T11:38:14Z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0x010100EB568298D0EEF14CA2D35F31049DE4A1</vt:lpwstr>
  </property>
  <property fmtid="{D5CDD505-2E9C-101B-9397-08002B2CF9AE}" pid="3" name="MediaServiceImageTags">
    <vt:lpwstr/>
  </property>
</Properties>
</file>