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ämäTyökirja" defaultThemeVersion="124226"/>
  <bookViews>
    <workbookView xWindow="0" yWindow="60" windowWidth="18996" windowHeight="6756" tabRatio="735"/>
  </bookViews>
  <sheets>
    <sheet name="Laskuri" sheetId="23" r:id="rId1"/>
    <sheet name="Jakaumat" sheetId="8" state="hidden" r:id="rId2"/>
    <sheet name="Lähtötiedot" sheetId="10" r:id="rId3"/>
    <sheet name="Tuet" sheetId="13" r:id="rId4"/>
    <sheet name="Katelaskelmatuloste" sheetId="25" r:id="rId5"/>
    <sheet name="Katelaskelma" sheetId="20" state="hidden" r:id="rId6"/>
    <sheet name="Laskenta" sheetId="6" state="hidden" r:id="rId7"/>
    <sheet name="Työnmenekki (apu)" sheetId="16" state="hidden" r:id="rId8"/>
    <sheet name="Yleiskustannus (apu)" sheetId="19" state="hidden" r:id="rId9"/>
    <sheet name="Ruokinta" sheetId="24" state="hidden" r:id="rId10"/>
    <sheet name="Tulokset" sheetId="22" r:id="rId11"/>
  </sheets>
  <definedNames>
    <definedName name="__123Graph_A" localSheetId="5" hidden="1">#REF!</definedName>
    <definedName name="__123Graph_A" localSheetId="4" hidden="1">#REF!</definedName>
    <definedName name="__123Graph_A" localSheetId="9" hidden="1">#REF!</definedName>
    <definedName name="__123Graph_A" hidden="1">#REF!</definedName>
    <definedName name="__123Graph_B" localSheetId="5" hidden="1">#REF!</definedName>
    <definedName name="__123Graph_B" localSheetId="4" hidden="1">#REF!</definedName>
    <definedName name="__123Graph_B" localSheetId="9" hidden="1">#REF!</definedName>
    <definedName name="__123Graph_B" hidden="1">#REF!</definedName>
    <definedName name="__123Graph_X" localSheetId="5" hidden="1">#REF!</definedName>
    <definedName name="__123Graph_X" localSheetId="4" hidden="1">#REF!</definedName>
    <definedName name="__123Graph_X" localSheetId="9" hidden="1">#REF!</definedName>
    <definedName name="__123Graph_X" hidden="1">#REF!</definedName>
    <definedName name="_1__123Graph_AA_KUVIO2" localSheetId="5" hidden="1">#REF!</definedName>
    <definedName name="_1__123Graph_AA_KUVIO2" localSheetId="4" hidden="1">#REF!</definedName>
    <definedName name="_1__123Graph_AA_KUVIO2" localSheetId="9" hidden="1">#REF!</definedName>
    <definedName name="_1__123Graph_AA_KUVIO2" hidden="1">#REF!</definedName>
    <definedName name="_2__123Graph_BA_KUVIO2" localSheetId="5" hidden="1">#REF!</definedName>
    <definedName name="_2__123Graph_BA_KUVIO2" localSheetId="4" hidden="1">#REF!</definedName>
    <definedName name="_2__123Graph_BA_KUVIO2" localSheetId="9" hidden="1">#REF!</definedName>
    <definedName name="_2__123Graph_BA_KUVIO2" hidden="1">#REF!</definedName>
    <definedName name="_3__123Graph_XA_KUVIO2" localSheetId="5" hidden="1">#REF!</definedName>
    <definedName name="_3__123Graph_XA_KUVIO2" localSheetId="4" hidden="1">#REF!</definedName>
    <definedName name="_3__123Graph_XA_KUVIO2" localSheetId="9" hidden="1">#REF!</definedName>
    <definedName name="_3__123Graph_XA_KUVIO2" hidden="1">#REF!</definedName>
    <definedName name="_Fill" localSheetId="5" hidden="1">#REF!</definedName>
    <definedName name="_Fill" localSheetId="4" hidden="1">#REF!</definedName>
    <definedName name="_Fill" localSheetId="9" hidden="1">#REF!</definedName>
    <definedName name="_Fill" hidden="1">#REF!</definedName>
    <definedName name="_Regression_X" localSheetId="5" hidden="1">#REF!</definedName>
    <definedName name="_Regression_X" localSheetId="4" hidden="1">#REF!</definedName>
    <definedName name="_Regression_X" localSheetId="9" hidden="1">#REF!</definedName>
    <definedName name="_Regression_X" hidden="1">#REF!</definedName>
    <definedName name="_Regression_Y" localSheetId="5" hidden="1">#REF!</definedName>
    <definedName name="_Regression_Y" localSheetId="4" hidden="1">#REF!</definedName>
    <definedName name="_Regression_Y" localSheetId="9" hidden="1">#REF!</definedName>
    <definedName name="_Regression_Y" hidden="1">#REF!</definedName>
    <definedName name="MARISKI" hidden="1">#REF!</definedName>
    <definedName name="_xlnm.Print_Area" localSheetId="5">Katelaskelma!$A$1:$F$44</definedName>
    <definedName name="_xlnm.Print_Area" localSheetId="4">Katelaskelmatuloste!$A$1:$F$46</definedName>
    <definedName name="_xlnm.Print_Area" localSheetId="0">Laskuri!$A$1:$J$38</definedName>
  </definedNames>
  <calcPr calcId="145621" calcMode="autoNoTable" calcOnSave="0"/>
</workbook>
</file>

<file path=xl/calcChain.xml><?xml version="1.0" encoding="utf-8"?>
<calcChain xmlns="http://schemas.openxmlformats.org/spreadsheetml/2006/main">
  <c r="C59" i="10" l="1"/>
  <c r="D55" i="10"/>
  <c r="F37" i="10" l="1"/>
  <c r="D8" i="25"/>
  <c r="C34" i="25" l="1"/>
  <c r="C33" i="25"/>
  <c r="C32" i="20"/>
  <c r="C31" i="20"/>
  <c r="D42" i="25" l="1"/>
  <c r="D41" i="25"/>
  <c r="D37" i="25"/>
  <c r="E37" i="25" s="1"/>
  <c r="C29" i="25"/>
  <c r="C27" i="25"/>
  <c r="C26" i="25"/>
  <c r="E26" i="25" s="1"/>
  <c r="D24" i="25"/>
  <c r="C23" i="25"/>
  <c r="E23" i="25" s="1"/>
  <c r="D22" i="25"/>
  <c r="C22" i="25"/>
  <c r="C14" i="25"/>
  <c r="E14" i="25" s="1"/>
  <c r="C13" i="25"/>
  <c r="C11" i="25"/>
  <c r="D10" i="25"/>
  <c r="C10" i="25"/>
  <c r="D9" i="25"/>
  <c r="C9" i="25"/>
  <c r="C24" i="25" s="1"/>
  <c r="C8" i="25"/>
  <c r="B3" i="25"/>
  <c r="C25" i="25" l="1"/>
  <c r="E25" i="25" s="1"/>
  <c r="F25" i="25" s="1"/>
  <c r="F26" i="25"/>
  <c r="F37" i="25"/>
  <c r="D43" i="25"/>
  <c r="E22" i="25"/>
  <c r="F22" i="25" s="1"/>
  <c r="E8" i="25"/>
  <c r="F8" i="25" s="1"/>
  <c r="E10" i="25"/>
  <c r="F10" i="25" s="1"/>
  <c r="F14" i="25"/>
  <c r="F23" i="25"/>
  <c r="D27" i="25"/>
  <c r="E27" i="25" s="1"/>
  <c r="F27" i="25" s="1"/>
  <c r="E24" i="25"/>
  <c r="F24" i="25" s="1"/>
  <c r="C12" i="25"/>
  <c r="E12" i="25" s="1"/>
  <c r="F12" i="25" s="1"/>
  <c r="D11" i="25"/>
  <c r="E11" i="25" s="1"/>
  <c r="F11" i="25" s="1"/>
  <c r="E9" i="25"/>
  <c r="F9" i="25" s="1"/>
  <c r="C15" i="25"/>
  <c r="E15" i="25" s="1"/>
  <c r="F15" i="25" s="1"/>
  <c r="C47" i="19"/>
  <c r="C38" i="25" l="1"/>
  <c r="E38" i="25" s="1"/>
  <c r="F38" i="25" s="1"/>
  <c r="C66" i="16"/>
  <c r="E59" i="10" l="1"/>
  <c r="E5" i="8"/>
  <c r="E4" i="8"/>
  <c r="C19" i="25" s="1"/>
  <c r="E3" i="8"/>
  <c r="F62" i="10" l="1"/>
  <c r="E61" i="10"/>
  <c r="F61" i="10" s="1"/>
  <c r="C5" i="22"/>
  <c r="C6" i="22" s="1"/>
  <c r="D33" i="25" l="1"/>
  <c r="E33" i="25" s="1"/>
  <c r="D31" i="20"/>
  <c r="D32" i="20"/>
  <c r="D34" i="25"/>
  <c r="E34" i="25" s="1"/>
  <c r="F34" i="25" s="1"/>
  <c r="I69" i="6"/>
  <c r="I71" i="6" s="1"/>
  <c r="F33" i="25" l="1"/>
  <c r="F35" i="25" s="1"/>
  <c r="E35" i="25"/>
  <c r="I67" i="6"/>
  <c r="I68" i="6"/>
  <c r="I70" i="6"/>
  <c r="C11" i="20"/>
  <c r="F1" i="20" l="1"/>
  <c r="C13" i="20" s="1"/>
  <c r="C12" i="20"/>
  <c r="D35" i="20"/>
  <c r="M71" i="6" l="1"/>
  <c r="M69" i="6"/>
  <c r="M68" i="6"/>
  <c r="M67" i="6"/>
  <c r="M70" i="6"/>
  <c r="C34" i="10"/>
  <c r="D39" i="20"/>
  <c r="E5" i="24" l="1"/>
  <c r="C21" i="10"/>
  <c r="C14" i="24" s="1"/>
  <c r="C27" i="20"/>
  <c r="C25" i="20"/>
  <c r="D40" i="20"/>
  <c r="D41" i="20" s="1"/>
  <c r="I73" i="6"/>
  <c r="I74" i="6" s="1"/>
  <c r="E35" i="20"/>
  <c r="C21" i="20"/>
  <c r="C20" i="20"/>
  <c r="D5" i="8"/>
  <c r="D4" i="8"/>
  <c r="C7" i="25" s="1"/>
  <c r="D3" i="8"/>
  <c r="C53" i="10"/>
  <c r="C52" i="10"/>
  <c r="F3" i="8"/>
  <c r="F5" i="8"/>
  <c r="F4" i="8"/>
  <c r="C18" i="25" s="1"/>
  <c r="C5" i="8"/>
  <c r="C4" i="8"/>
  <c r="D7" i="25" s="1"/>
  <c r="C3" i="8"/>
  <c r="E11" i="8"/>
  <c r="E6" i="8"/>
  <c r="E7" i="8" s="1"/>
  <c r="F46" i="20" l="1"/>
  <c r="F3" i="6"/>
  <c r="F7" i="6"/>
  <c r="F11" i="6"/>
  <c r="F15" i="6"/>
  <c r="F19" i="6"/>
  <c r="F23" i="6"/>
  <c r="F27" i="6"/>
  <c r="F31" i="6"/>
  <c r="F35" i="6"/>
  <c r="F39" i="6"/>
  <c r="F43" i="6"/>
  <c r="F47" i="6"/>
  <c r="F51" i="6"/>
  <c r="F55" i="6"/>
  <c r="F59" i="6"/>
  <c r="F63" i="6"/>
  <c r="F67" i="6"/>
  <c r="F71" i="6"/>
  <c r="F75" i="6"/>
  <c r="F79" i="6"/>
  <c r="F83" i="6"/>
  <c r="F87" i="6"/>
  <c r="F91" i="6"/>
  <c r="F95" i="6"/>
  <c r="F99" i="6"/>
  <c r="F103" i="6"/>
  <c r="F107" i="6"/>
  <c r="F111" i="6"/>
  <c r="F115" i="6"/>
  <c r="F119" i="6"/>
  <c r="F123" i="6"/>
  <c r="F127" i="6"/>
  <c r="F131" i="6"/>
  <c r="F135" i="6"/>
  <c r="F139" i="6"/>
  <c r="F143" i="6"/>
  <c r="F147" i="6"/>
  <c r="F151" i="6"/>
  <c r="F155" i="6"/>
  <c r="F159" i="6"/>
  <c r="F163" i="6"/>
  <c r="F167" i="6"/>
  <c r="F171" i="6"/>
  <c r="F175" i="6"/>
  <c r="F179" i="6"/>
  <c r="F183" i="6"/>
  <c r="F187" i="6"/>
  <c r="F191" i="6"/>
  <c r="F195" i="6"/>
  <c r="F199" i="6"/>
  <c r="F203" i="6"/>
  <c r="F207" i="6"/>
  <c r="F211" i="6"/>
  <c r="F215" i="6"/>
  <c r="F219" i="6"/>
  <c r="F223" i="6"/>
  <c r="F227" i="6"/>
  <c r="F231" i="6"/>
  <c r="F235" i="6"/>
  <c r="F239" i="6"/>
  <c r="F243" i="6"/>
  <c r="F247" i="6"/>
  <c r="F251" i="6"/>
  <c r="F255" i="6"/>
  <c r="F259" i="6"/>
  <c r="F263" i="6"/>
  <c r="F267" i="6"/>
  <c r="F271" i="6"/>
  <c r="F275" i="6"/>
  <c r="F279" i="6"/>
  <c r="F283" i="6"/>
  <c r="F287" i="6"/>
  <c r="F291" i="6"/>
  <c r="F295" i="6"/>
  <c r="F299" i="6"/>
  <c r="F303" i="6"/>
  <c r="F307" i="6"/>
  <c r="F311" i="6"/>
  <c r="F315" i="6"/>
  <c r="F319" i="6"/>
  <c r="F323" i="6"/>
  <c r="F327" i="6"/>
  <c r="F331" i="6"/>
  <c r="F335" i="6"/>
  <c r="F339" i="6"/>
  <c r="F4" i="6"/>
  <c r="F8" i="6"/>
  <c r="F12" i="6"/>
  <c r="F16" i="6"/>
  <c r="F20" i="6"/>
  <c r="F24" i="6"/>
  <c r="F28" i="6"/>
  <c r="F32" i="6"/>
  <c r="F36" i="6"/>
  <c r="F40" i="6"/>
  <c r="F44" i="6"/>
  <c r="F48" i="6"/>
  <c r="F52" i="6"/>
  <c r="F56" i="6"/>
  <c r="F60" i="6"/>
  <c r="F64" i="6"/>
  <c r="F68" i="6"/>
  <c r="F72" i="6"/>
  <c r="F76" i="6"/>
  <c r="F80" i="6"/>
  <c r="F84" i="6"/>
  <c r="F88" i="6"/>
  <c r="F92" i="6"/>
  <c r="F96" i="6"/>
  <c r="F100" i="6"/>
  <c r="F104" i="6"/>
  <c r="F108" i="6"/>
  <c r="F112" i="6"/>
  <c r="F116" i="6"/>
  <c r="F120" i="6"/>
  <c r="F124" i="6"/>
  <c r="F128" i="6"/>
  <c r="F132" i="6"/>
  <c r="F136" i="6"/>
  <c r="F140" i="6"/>
  <c r="F144" i="6"/>
  <c r="F148" i="6"/>
  <c r="F152" i="6"/>
  <c r="F156" i="6"/>
  <c r="F160" i="6"/>
  <c r="F164" i="6"/>
  <c r="F168" i="6"/>
  <c r="F172" i="6"/>
  <c r="F176" i="6"/>
  <c r="F180" i="6"/>
  <c r="F184" i="6"/>
  <c r="F188" i="6"/>
  <c r="F192" i="6"/>
  <c r="F196" i="6"/>
  <c r="F5" i="6"/>
  <c r="F9" i="6"/>
  <c r="F13" i="6"/>
  <c r="F17" i="6"/>
  <c r="F21" i="6"/>
  <c r="F25" i="6"/>
  <c r="F29" i="6"/>
  <c r="F33" i="6"/>
  <c r="F37" i="6"/>
  <c r="F41" i="6"/>
  <c r="F45" i="6"/>
  <c r="F49" i="6"/>
  <c r="F53" i="6"/>
  <c r="F57" i="6"/>
  <c r="F61" i="6"/>
  <c r="F65" i="6"/>
  <c r="F69" i="6"/>
  <c r="F73" i="6"/>
  <c r="F77" i="6"/>
  <c r="F81" i="6"/>
  <c r="F85" i="6"/>
  <c r="F89" i="6"/>
  <c r="F93" i="6"/>
  <c r="F97" i="6"/>
  <c r="F101" i="6"/>
  <c r="F105" i="6"/>
  <c r="F109" i="6"/>
  <c r="F113" i="6"/>
  <c r="F117" i="6"/>
  <c r="F121" i="6"/>
  <c r="F125" i="6"/>
  <c r="F129" i="6"/>
  <c r="F133" i="6"/>
  <c r="F137" i="6"/>
  <c r="F141" i="6"/>
  <c r="F145" i="6"/>
  <c r="F149" i="6"/>
  <c r="F153" i="6"/>
  <c r="F157" i="6"/>
  <c r="F161" i="6"/>
  <c r="F165" i="6"/>
  <c r="F169" i="6"/>
  <c r="F173" i="6"/>
  <c r="F177" i="6"/>
  <c r="F181" i="6"/>
  <c r="F185" i="6"/>
  <c r="F189" i="6"/>
  <c r="F193" i="6"/>
  <c r="F197" i="6"/>
  <c r="F201" i="6"/>
  <c r="F205" i="6"/>
  <c r="F209" i="6"/>
  <c r="F213" i="6"/>
  <c r="F217" i="6"/>
  <c r="F221" i="6"/>
  <c r="F225" i="6"/>
  <c r="F229" i="6"/>
  <c r="F233" i="6"/>
  <c r="F237" i="6"/>
  <c r="F241" i="6"/>
  <c r="F245" i="6"/>
  <c r="F249" i="6"/>
  <c r="F253" i="6"/>
  <c r="F257" i="6"/>
  <c r="F261" i="6"/>
  <c r="F265" i="6"/>
  <c r="F269" i="6"/>
  <c r="F273" i="6"/>
  <c r="F277" i="6"/>
  <c r="F281" i="6"/>
  <c r="F285" i="6"/>
  <c r="F289" i="6"/>
  <c r="F293" i="6"/>
  <c r="F297" i="6"/>
  <c r="F301" i="6"/>
  <c r="F305" i="6"/>
  <c r="F309" i="6"/>
  <c r="F313" i="6"/>
  <c r="F317" i="6"/>
  <c r="F321" i="6"/>
  <c r="F325" i="6"/>
  <c r="F329" i="6"/>
  <c r="F333" i="6"/>
  <c r="F6" i="6"/>
  <c r="F22" i="6"/>
  <c r="F38" i="6"/>
  <c r="F54" i="6"/>
  <c r="F70" i="6"/>
  <c r="F86" i="6"/>
  <c r="F102" i="6"/>
  <c r="F118" i="6"/>
  <c r="F134" i="6"/>
  <c r="F150" i="6"/>
  <c r="F166" i="6"/>
  <c r="F182" i="6"/>
  <c r="F198" i="6"/>
  <c r="F206" i="6"/>
  <c r="F214" i="6"/>
  <c r="F222" i="6"/>
  <c r="F230" i="6"/>
  <c r="F238" i="6"/>
  <c r="F246" i="6"/>
  <c r="F254" i="6"/>
  <c r="F262" i="6"/>
  <c r="F270" i="6"/>
  <c r="F278" i="6"/>
  <c r="F286" i="6"/>
  <c r="F294" i="6"/>
  <c r="F302" i="6"/>
  <c r="F310" i="6"/>
  <c r="F318" i="6"/>
  <c r="F326" i="6"/>
  <c r="F334" i="6"/>
  <c r="F340" i="6"/>
  <c r="F344" i="6"/>
  <c r="F348" i="6"/>
  <c r="F352" i="6"/>
  <c r="F356" i="6"/>
  <c r="F360" i="6"/>
  <c r="F364" i="6"/>
  <c r="F368" i="6"/>
  <c r="F372" i="6"/>
  <c r="F376" i="6"/>
  <c r="F380" i="6"/>
  <c r="F384" i="6"/>
  <c r="F388" i="6"/>
  <c r="F392" i="6"/>
  <c r="F396" i="6"/>
  <c r="F400" i="6"/>
  <c r="F404" i="6"/>
  <c r="F408" i="6"/>
  <c r="F412" i="6"/>
  <c r="F416" i="6"/>
  <c r="F420" i="6"/>
  <c r="F424" i="6"/>
  <c r="F428" i="6"/>
  <c r="F432" i="6"/>
  <c r="F436" i="6"/>
  <c r="F440" i="6"/>
  <c r="F444" i="6"/>
  <c r="F448" i="6"/>
  <c r="F452" i="6"/>
  <c r="F456" i="6"/>
  <c r="F460" i="6"/>
  <c r="F464" i="6"/>
  <c r="F468" i="6"/>
  <c r="F472" i="6"/>
  <c r="F476" i="6"/>
  <c r="F480" i="6"/>
  <c r="F484" i="6"/>
  <c r="F488" i="6"/>
  <c r="F492" i="6"/>
  <c r="F496" i="6"/>
  <c r="F500" i="6"/>
  <c r="F504" i="6"/>
  <c r="F508" i="6"/>
  <c r="F512" i="6"/>
  <c r="F516" i="6"/>
  <c r="F520" i="6"/>
  <c r="F524" i="6"/>
  <c r="F528" i="6"/>
  <c r="F532" i="6"/>
  <c r="F536" i="6"/>
  <c r="F540" i="6"/>
  <c r="F544" i="6"/>
  <c r="F548" i="6"/>
  <c r="F552" i="6"/>
  <c r="F556" i="6"/>
  <c r="F560" i="6"/>
  <c r="F564" i="6"/>
  <c r="F568" i="6"/>
  <c r="F572" i="6"/>
  <c r="F576" i="6"/>
  <c r="F580" i="6"/>
  <c r="F10" i="6"/>
  <c r="F26" i="6"/>
  <c r="F42" i="6"/>
  <c r="F58" i="6"/>
  <c r="F74" i="6"/>
  <c r="F90" i="6"/>
  <c r="F106" i="6"/>
  <c r="F122" i="6"/>
  <c r="F138" i="6"/>
  <c r="F154" i="6"/>
  <c r="F170" i="6"/>
  <c r="F186" i="6"/>
  <c r="F200" i="6"/>
  <c r="F208" i="6"/>
  <c r="F216" i="6"/>
  <c r="F224" i="6"/>
  <c r="F232" i="6"/>
  <c r="F240" i="6"/>
  <c r="F248" i="6"/>
  <c r="F256" i="6"/>
  <c r="F264" i="6"/>
  <c r="F272" i="6"/>
  <c r="F280" i="6"/>
  <c r="F288" i="6"/>
  <c r="F296" i="6"/>
  <c r="F304" i="6"/>
  <c r="F312" i="6"/>
  <c r="F320" i="6"/>
  <c r="F328" i="6"/>
  <c r="F336" i="6"/>
  <c r="F341" i="6"/>
  <c r="F345" i="6"/>
  <c r="F349" i="6"/>
  <c r="F353" i="6"/>
  <c r="F357" i="6"/>
  <c r="F361" i="6"/>
  <c r="F365" i="6"/>
  <c r="F369" i="6"/>
  <c r="F14" i="6"/>
  <c r="F30" i="6"/>
  <c r="F46" i="6"/>
  <c r="F62" i="6"/>
  <c r="F78" i="6"/>
  <c r="F94" i="6"/>
  <c r="F110" i="6"/>
  <c r="F126" i="6"/>
  <c r="F142" i="6"/>
  <c r="F158" i="6"/>
  <c r="F174" i="6"/>
  <c r="F190" i="6"/>
  <c r="F202" i="6"/>
  <c r="F210" i="6"/>
  <c r="F218" i="6"/>
  <c r="F226" i="6"/>
  <c r="F234" i="6"/>
  <c r="F242" i="6"/>
  <c r="F250" i="6"/>
  <c r="F258" i="6"/>
  <c r="F266" i="6"/>
  <c r="F274" i="6"/>
  <c r="F282" i="6"/>
  <c r="F290" i="6"/>
  <c r="F298" i="6"/>
  <c r="F306" i="6"/>
  <c r="F314" i="6"/>
  <c r="F322" i="6"/>
  <c r="F330" i="6"/>
  <c r="F337" i="6"/>
  <c r="F342" i="6"/>
  <c r="F346" i="6"/>
  <c r="F350" i="6"/>
  <c r="F354" i="6"/>
  <c r="F358" i="6"/>
  <c r="F362" i="6"/>
  <c r="F366" i="6"/>
  <c r="F370" i="6"/>
  <c r="F374" i="6"/>
  <c r="F378" i="6"/>
  <c r="F382" i="6"/>
  <c r="F386" i="6"/>
  <c r="F390" i="6"/>
  <c r="F394" i="6"/>
  <c r="F398" i="6"/>
  <c r="F402" i="6"/>
  <c r="F406" i="6"/>
  <c r="F410" i="6"/>
  <c r="F414" i="6"/>
  <c r="F418" i="6"/>
  <c r="F422" i="6"/>
  <c r="F426" i="6"/>
  <c r="F430" i="6"/>
  <c r="F434" i="6"/>
  <c r="F438" i="6"/>
  <c r="F442" i="6"/>
  <c r="F446" i="6"/>
  <c r="F450" i="6"/>
  <c r="F454" i="6"/>
  <c r="F458" i="6"/>
  <c r="F462" i="6"/>
  <c r="F466" i="6"/>
  <c r="F470" i="6"/>
  <c r="F474" i="6"/>
  <c r="F478" i="6"/>
  <c r="F482" i="6"/>
  <c r="F486" i="6"/>
  <c r="F490" i="6"/>
  <c r="F494" i="6"/>
  <c r="F498" i="6"/>
  <c r="F502" i="6"/>
  <c r="F506" i="6"/>
  <c r="F510" i="6"/>
  <c r="F514" i="6"/>
  <c r="F518" i="6"/>
  <c r="F522" i="6"/>
  <c r="F526" i="6"/>
  <c r="F530" i="6"/>
  <c r="F534" i="6"/>
  <c r="F538" i="6"/>
  <c r="F542" i="6"/>
  <c r="F546" i="6"/>
  <c r="F550" i="6"/>
  <c r="F554" i="6"/>
  <c r="F558" i="6"/>
  <c r="F18" i="6"/>
  <c r="F82" i="6"/>
  <c r="F146" i="6"/>
  <c r="F204" i="6"/>
  <c r="F236" i="6"/>
  <c r="F268" i="6"/>
  <c r="F300" i="6"/>
  <c r="F332" i="6"/>
  <c r="F351" i="6"/>
  <c r="F367" i="6"/>
  <c r="F377" i="6"/>
  <c r="F385" i="6"/>
  <c r="F393" i="6"/>
  <c r="F401" i="6"/>
  <c r="F409" i="6"/>
  <c r="F417" i="6"/>
  <c r="F425" i="6"/>
  <c r="F433" i="6"/>
  <c r="F441" i="6"/>
  <c r="F449" i="6"/>
  <c r="F457" i="6"/>
  <c r="F465" i="6"/>
  <c r="F473" i="6"/>
  <c r="F481" i="6"/>
  <c r="F489" i="6"/>
  <c r="F497" i="6"/>
  <c r="F505" i="6"/>
  <c r="F513" i="6"/>
  <c r="F521" i="6"/>
  <c r="F529" i="6"/>
  <c r="F537" i="6"/>
  <c r="F545" i="6"/>
  <c r="F553" i="6"/>
  <c r="F561" i="6"/>
  <c r="F566" i="6"/>
  <c r="F571" i="6"/>
  <c r="F577" i="6"/>
  <c r="F582" i="6"/>
  <c r="F586" i="6"/>
  <c r="F590" i="6"/>
  <c r="F594" i="6"/>
  <c r="F598" i="6"/>
  <c r="F602" i="6"/>
  <c r="F606" i="6"/>
  <c r="F610" i="6"/>
  <c r="F614" i="6"/>
  <c r="F618" i="6"/>
  <c r="F622" i="6"/>
  <c r="F626" i="6"/>
  <c r="F630" i="6"/>
  <c r="F634" i="6"/>
  <c r="F638" i="6"/>
  <c r="F642" i="6"/>
  <c r="F646" i="6"/>
  <c r="F650" i="6"/>
  <c r="F654" i="6"/>
  <c r="F658" i="6"/>
  <c r="F662" i="6"/>
  <c r="F666" i="6"/>
  <c r="F670" i="6"/>
  <c r="F674" i="6"/>
  <c r="F678" i="6"/>
  <c r="F682" i="6"/>
  <c r="F686" i="6"/>
  <c r="F690" i="6"/>
  <c r="F694" i="6"/>
  <c r="F698" i="6"/>
  <c r="F702" i="6"/>
  <c r="F706" i="6"/>
  <c r="F710" i="6"/>
  <c r="F714" i="6"/>
  <c r="F718" i="6"/>
  <c r="F722" i="6"/>
  <c r="F726" i="6"/>
  <c r="F730" i="6"/>
  <c r="F734" i="6"/>
  <c r="F738" i="6"/>
  <c r="F742" i="6"/>
  <c r="F746" i="6"/>
  <c r="F750" i="6"/>
  <c r="F754" i="6"/>
  <c r="F758" i="6"/>
  <c r="F762" i="6"/>
  <c r="F766" i="6"/>
  <c r="F770" i="6"/>
  <c r="F774" i="6"/>
  <c r="F778" i="6"/>
  <c r="F782" i="6"/>
  <c r="F786" i="6"/>
  <c r="F790" i="6"/>
  <c r="F794" i="6"/>
  <c r="F798" i="6"/>
  <c r="F802" i="6"/>
  <c r="F806" i="6"/>
  <c r="F810" i="6"/>
  <c r="F814" i="6"/>
  <c r="F818" i="6"/>
  <c r="F822" i="6"/>
  <c r="F826" i="6"/>
  <c r="F830" i="6"/>
  <c r="F834" i="6"/>
  <c r="F838" i="6"/>
  <c r="F842" i="6"/>
  <c r="F846" i="6"/>
  <c r="F850" i="6"/>
  <c r="F854" i="6"/>
  <c r="F858" i="6"/>
  <c r="F862" i="6"/>
  <c r="F866" i="6"/>
  <c r="F870" i="6"/>
  <c r="F874" i="6"/>
  <c r="F878" i="6"/>
  <c r="F882" i="6"/>
  <c r="F886" i="6"/>
  <c r="F890" i="6"/>
  <c r="F894" i="6"/>
  <c r="F898" i="6"/>
  <c r="F902" i="6"/>
  <c r="F906" i="6"/>
  <c r="F910" i="6"/>
  <c r="F914" i="6"/>
  <c r="F918" i="6"/>
  <c r="F922" i="6"/>
  <c r="F926" i="6"/>
  <c r="F930" i="6"/>
  <c r="F934" i="6"/>
  <c r="F938" i="6"/>
  <c r="F942" i="6"/>
  <c r="F946" i="6"/>
  <c r="F950" i="6"/>
  <c r="F954" i="6"/>
  <c r="F958" i="6"/>
  <c r="F962" i="6"/>
  <c r="F966" i="6"/>
  <c r="F970" i="6"/>
  <c r="F974" i="6"/>
  <c r="F978" i="6"/>
  <c r="F982" i="6"/>
  <c r="F986" i="6"/>
  <c r="F990" i="6"/>
  <c r="F994" i="6"/>
  <c r="F998" i="6"/>
  <c r="F743" i="6"/>
  <c r="F759" i="6"/>
  <c r="F767" i="6"/>
  <c r="F775" i="6"/>
  <c r="F783" i="6"/>
  <c r="F787" i="6"/>
  <c r="F795" i="6"/>
  <c r="F799" i="6"/>
  <c r="F807" i="6"/>
  <c r="F811" i="6"/>
  <c r="F819" i="6"/>
  <c r="F34" i="6"/>
  <c r="F98" i="6"/>
  <c r="F162" i="6"/>
  <c r="F212" i="6"/>
  <c r="F244" i="6"/>
  <c r="F276" i="6"/>
  <c r="F308" i="6"/>
  <c r="F338" i="6"/>
  <c r="F355" i="6"/>
  <c r="F371" i="6"/>
  <c r="F379" i="6"/>
  <c r="F387" i="6"/>
  <c r="F395" i="6"/>
  <c r="F403" i="6"/>
  <c r="F411" i="6"/>
  <c r="F419" i="6"/>
  <c r="F427" i="6"/>
  <c r="F435" i="6"/>
  <c r="F443" i="6"/>
  <c r="F451" i="6"/>
  <c r="F459" i="6"/>
  <c r="F467" i="6"/>
  <c r="F475" i="6"/>
  <c r="F483" i="6"/>
  <c r="F491" i="6"/>
  <c r="F499" i="6"/>
  <c r="F507" i="6"/>
  <c r="F515" i="6"/>
  <c r="F523" i="6"/>
  <c r="F531" i="6"/>
  <c r="F539" i="6"/>
  <c r="F547" i="6"/>
  <c r="F555" i="6"/>
  <c r="F562" i="6"/>
  <c r="F567" i="6"/>
  <c r="F573" i="6"/>
  <c r="F578" i="6"/>
  <c r="F583" i="6"/>
  <c r="F587" i="6"/>
  <c r="F591" i="6"/>
  <c r="F595" i="6"/>
  <c r="F599" i="6"/>
  <c r="F603" i="6"/>
  <c r="F607" i="6"/>
  <c r="F611" i="6"/>
  <c r="F615" i="6"/>
  <c r="F619" i="6"/>
  <c r="F623" i="6"/>
  <c r="F627" i="6"/>
  <c r="F631" i="6"/>
  <c r="F635" i="6"/>
  <c r="F639" i="6"/>
  <c r="F643" i="6"/>
  <c r="F647" i="6"/>
  <c r="F651" i="6"/>
  <c r="F655" i="6"/>
  <c r="F659" i="6"/>
  <c r="F663" i="6"/>
  <c r="F667" i="6"/>
  <c r="F671" i="6"/>
  <c r="F675" i="6"/>
  <c r="F679" i="6"/>
  <c r="F683" i="6"/>
  <c r="F687" i="6"/>
  <c r="F691" i="6"/>
  <c r="F695" i="6"/>
  <c r="F699" i="6"/>
  <c r="F703" i="6"/>
  <c r="F707" i="6"/>
  <c r="F711" i="6"/>
  <c r="F715" i="6"/>
  <c r="F719" i="6"/>
  <c r="F723" i="6"/>
  <c r="F727" i="6"/>
  <c r="F731" i="6"/>
  <c r="F735" i="6"/>
  <c r="F739" i="6"/>
  <c r="F747" i="6"/>
  <c r="F751" i="6"/>
  <c r="F755" i="6"/>
  <c r="F763" i="6"/>
  <c r="F771" i="6"/>
  <c r="F779" i="6"/>
  <c r="F791" i="6"/>
  <c r="F803" i="6"/>
  <c r="F50" i="6"/>
  <c r="F114" i="6"/>
  <c r="F178" i="6"/>
  <c r="F220" i="6"/>
  <c r="F252" i="6"/>
  <c r="F284" i="6"/>
  <c r="F316" i="6"/>
  <c r="F343" i="6"/>
  <c r="F359" i="6"/>
  <c r="F373" i="6"/>
  <c r="F381" i="6"/>
  <c r="F389" i="6"/>
  <c r="F397" i="6"/>
  <c r="F405" i="6"/>
  <c r="F413" i="6"/>
  <c r="F421" i="6"/>
  <c r="F429" i="6"/>
  <c r="F437" i="6"/>
  <c r="F445" i="6"/>
  <c r="F453" i="6"/>
  <c r="F461" i="6"/>
  <c r="F469" i="6"/>
  <c r="F477" i="6"/>
  <c r="F485" i="6"/>
  <c r="F493" i="6"/>
  <c r="F501" i="6"/>
  <c r="F509" i="6"/>
  <c r="F517" i="6"/>
  <c r="F525" i="6"/>
  <c r="F533" i="6"/>
  <c r="F541" i="6"/>
  <c r="F549" i="6"/>
  <c r="F557" i="6"/>
  <c r="F563" i="6"/>
  <c r="F569" i="6"/>
  <c r="F574" i="6"/>
  <c r="F579" i="6"/>
  <c r="F584" i="6"/>
  <c r="F588" i="6"/>
  <c r="F592" i="6"/>
  <c r="F596" i="6"/>
  <c r="F600" i="6"/>
  <c r="F604" i="6"/>
  <c r="F608" i="6"/>
  <c r="F612" i="6"/>
  <c r="F616" i="6"/>
  <c r="F620" i="6"/>
  <c r="F624" i="6"/>
  <c r="F628" i="6"/>
  <c r="F632" i="6"/>
  <c r="F636" i="6"/>
  <c r="F640" i="6"/>
  <c r="F644" i="6"/>
  <c r="F648" i="6"/>
  <c r="F652" i="6"/>
  <c r="F656" i="6"/>
  <c r="F660" i="6"/>
  <c r="F664" i="6"/>
  <c r="F668" i="6"/>
  <c r="F672" i="6"/>
  <c r="F676" i="6"/>
  <c r="F680" i="6"/>
  <c r="F684" i="6"/>
  <c r="F688" i="6"/>
  <c r="F692" i="6"/>
  <c r="F696" i="6"/>
  <c r="F700" i="6"/>
  <c r="F704" i="6"/>
  <c r="F708" i="6"/>
  <c r="F712" i="6"/>
  <c r="F716" i="6"/>
  <c r="F720" i="6"/>
  <c r="F724" i="6"/>
  <c r="F728" i="6"/>
  <c r="F732" i="6"/>
  <c r="F736" i="6"/>
  <c r="F740" i="6"/>
  <c r="F744" i="6"/>
  <c r="F748" i="6"/>
  <c r="F752" i="6"/>
  <c r="F756" i="6"/>
  <c r="F760" i="6"/>
  <c r="F764" i="6"/>
  <c r="F768" i="6"/>
  <c r="F772" i="6"/>
  <c r="F776" i="6"/>
  <c r="F780" i="6"/>
  <c r="F784" i="6"/>
  <c r="F788" i="6"/>
  <c r="F792" i="6"/>
  <c r="F796" i="6"/>
  <c r="F800" i="6"/>
  <c r="F804" i="6"/>
  <c r="F808" i="6"/>
  <c r="F812" i="6"/>
  <c r="F816" i="6"/>
  <c r="F820" i="6"/>
  <c r="F824" i="6"/>
  <c r="F828" i="6"/>
  <c r="F832" i="6"/>
  <c r="F836" i="6"/>
  <c r="F840" i="6"/>
  <c r="F844" i="6"/>
  <c r="F848" i="6"/>
  <c r="F852" i="6"/>
  <c r="F856" i="6"/>
  <c r="F860" i="6"/>
  <c r="F864" i="6"/>
  <c r="F868" i="6"/>
  <c r="F872" i="6"/>
  <c r="F876" i="6"/>
  <c r="F880" i="6"/>
  <c r="F884" i="6"/>
  <c r="F888" i="6"/>
  <c r="F892" i="6"/>
  <c r="F896" i="6"/>
  <c r="F900" i="6"/>
  <c r="F904" i="6"/>
  <c r="F908" i="6"/>
  <c r="F912" i="6"/>
  <c r="F916" i="6"/>
  <c r="F920" i="6"/>
  <c r="F924" i="6"/>
  <c r="F928" i="6"/>
  <c r="F932" i="6"/>
  <c r="F936" i="6"/>
  <c r="F940" i="6"/>
  <c r="F944" i="6"/>
  <c r="F948" i="6"/>
  <c r="F952" i="6"/>
  <c r="F956" i="6"/>
  <c r="F960" i="6"/>
  <c r="F964" i="6"/>
  <c r="F968" i="6"/>
  <c r="F972" i="6"/>
  <c r="F976" i="6"/>
  <c r="F980" i="6"/>
  <c r="F984" i="6"/>
  <c r="F988" i="6"/>
  <c r="F992" i="6"/>
  <c r="F996" i="6"/>
  <c r="F1000" i="6"/>
  <c r="F66" i="6"/>
  <c r="F130" i="6"/>
  <c r="F194" i="6"/>
  <c r="F324" i="6"/>
  <c r="F383" i="6"/>
  <c r="F415" i="6"/>
  <c r="F447" i="6"/>
  <c r="F479" i="6"/>
  <c r="F511" i="6"/>
  <c r="F543" i="6"/>
  <c r="F570" i="6"/>
  <c r="F589" i="6"/>
  <c r="F605" i="6"/>
  <c r="F621" i="6"/>
  <c r="F637" i="6"/>
  <c r="F653" i="6"/>
  <c r="F669" i="6"/>
  <c r="F685" i="6"/>
  <c r="F701" i="6"/>
  <c r="F717" i="6"/>
  <c r="F733" i="6"/>
  <c r="F749" i="6"/>
  <c r="F765" i="6"/>
  <c r="F781" i="6"/>
  <c r="F797" i="6"/>
  <c r="F813" i="6"/>
  <c r="F823" i="6"/>
  <c r="F831" i="6"/>
  <c r="F839" i="6"/>
  <c r="F847" i="6"/>
  <c r="F855" i="6"/>
  <c r="F863" i="6"/>
  <c r="F871" i="6"/>
  <c r="F879" i="6"/>
  <c r="F887" i="6"/>
  <c r="F895" i="6"/>
  <c r="F903" i="6"/>
  <c r="F911" i="6"/>
  <c r="F919" i="6"/>
  <c r="F927" i="6"/>
  <c r="F935" i="6"/>
  <c r="F943" i="6"/>
  <c r="F951" i="6"/>
  <c r="F959" i="6"/>
  <c r="F967" i="6"/>
  <c r="F975" i="6"/>
  <c r="F983" i="6"/>
  <c r="F991" i="6"/>
  <c r="F999" i="6"/>
  <c r="F673" i="6"/>
  <c r="F705" i="6"/>
  <c r="F721" i="6"/>
  <c r="F753" i="6"/>
  <c r="F769" i="6"/>
  <c r="F785" i="6"/>
  <c r="F801" i="6"/>
  <c r="F825" i="6"/>
  <c r="F833" i="6"/>
  <c r="F841" i="6"/>
  <c r="F849" i="6"/>
  <c r="F857" i="6"/>
  <c r="F865" i="6"/>
  <c r="F881" i="6"/>
  <c r="F889" i="6"/>
  <c r="F897" i="6"/>
  <c r="F905" i="6"/>
  <c r="F921" i="6"/>
  <c r="F929" i="6"/>
  <c r="F937" i="6"/>
  <c r="F945" i="6"/>
  <c r="F953" i="6"/>
  <c r="F969" i="6"/>
  <c r="F977" i="6"/>
  <c r="F985" i="6"/>
  <c r="F993" i="6"/>
  <c r="F1001" i="6"/>
  <c r="F633" i="6"/>
  <c r="F697" i="6"/>
  <c r="F729" i="6"/>
  <c r="F761" i="6"/>
  <c r="F793" i="6"/>
  <c r="F829" i="6"/>
  <c r="F837" i="6"/>
  <c r="F861" i="6"/>
  <c r="F869" i="6"/>
  <c r="F893" i="6"/>
  <c r="F909" i="6"/>
  <c r="F925" i="6"/>
  <c r="F949" i="6"/>
  <c r="F957" i="6"/>
  <c r="F981" i="6"/>
  <c r="F997" i="6"/>
  <c r="F228" i="6"/>
  <c r="F347" i="6"/>
  <c r="F391" i="6"/>
  <c r="F423" i="6"/>
  <c r="F455" i="6"/>
  <c r="F487" i="6"/>
  <c r="F519" i="6"/>
  <c r="F551" i="6"/>
  <c r="F575" i="6"/>
  <c r="F593" i="6"/>
  <c r="F609" i="6"/>
  <c r="F625" i="6"/>
  <c r="F641" i="6"/>
  <c r="F657" i="6"/>
  <c r="F689" i="6"/>
  <c r="F737" i="6"/>
  <c r="F815" i="6"/>
  <c r="F873" i="6"/>
  <c r="F913" i="6"/>
  <c r="F961" i="6"/>
  <c r="F665" i="6"/>
  <c r="F809" i="6"/>
  <c r="F853" i="6"/>
  <c r="F885" i="6"/>
  <c r="F933" i="6"/>
  <c r="F973" i="6"/>
  <c r="F260" i="6"/>
  <c r="F363" i="6"/>
  <c r="F399" i="6"/>
  <c r="F431" i="6"/>
  <c r="F463" i="6"/>
  <c r="F495" i="6"/>
  <c r="F527" i="6"/>
  <c r="F559" i="6"/>
  <c r="F581" i="6"/>
  <c r="F597" i="6"/>
  <c r="F613" i="6"/>
  <c r="F629" i="6"/>
  <c r="F645" i="6"/>
  <c r="F661" i="6"/>
  <c r="F677" i="6"/>
  <c r="F693" i="6"/>
  <c r="F709" i="6"/>
  <c r="F725" i="6"/>
  <c r="F741" i="6"/>
  <c r="F757" i="6"/>
  <c r="F773" i="6"/>
  <c r="F789" i="6"/>
  <c r="F805" i="6"/>
  <c r="F817" i="6"/>
  <c r="F827" i="6"/>
  <c r="F835" i="6"/>
  <c r="F843" i="6"/>
  <c r="F851" i="6"/>
  <c r="F859" i="6"/>
  <c r="F867" i="6"/>
  <c r="F875" i="6"/>
  <c r="F883" i="6"/>
  <c r="F891" i="6"/>
  <c r="F899" i="6"/>
  <c r="F907" i="6"/>
  <c r="F915" i="6"/>
  <c r="F923" i="6"/>
  <c r="F931" i="6"/>
  <c r="F939" i="6"/>
  <c r="F947" i="6"/>
  <c r="F955" i="6"/>
  <c r="F963" i="6"/>
  <c r="F971" i="6"/>
  <c r="F979" i="6"/>
  <c r="F987" i="6"/>
  <c r="F995" i="6"/>
  <c r="F292" i="6"/>
  <c r="F375" i="6"/>
  <c r="F407" i="6"/>
  <c r="F439" i="6"/>
  <c r="F471" i="6"/>
  <c r="F503" i="6"/>
  <c r="F535" i="6"/>
  <c r="F565" i="6"/>
  <c r="F585" i="6"/>
  <c r="F601" i="6"/>
  <c r="F617" i="6"/>
  <c r="F649" i="6"/>
  <c r="F681" i="6"/>
  <c r="F713" i="6"/>
  <c r="F745" i="6"/>
  <c r="F777" i="6"/>
  <c r="F821" i="6"/>
  <c r="F845" i="6"/>
  <c r="F877" i="6"/>
  <c r="F901" i="6"/>
  <c r="F917" i="6"/>
  <c r="F941" i="6"/>
  <c r="F965" i="6"/>
  <c r="F989" i="6"/>
  <c r="D18" i="24"/>
  <c r="D17" i="24"/>
  <c r="D16" i="24"/>
  <c r="E16" i="24" s="1"/>
  <c r="D19" i="24"/>
  <c r="E19" i="24" l="1"/>
  <c r="E17" i="24"/>
  <c r="E18" i="24"/>
  <c r="E8" i="8"/>
  <c r="F11" i="8"/>
  <c r="F6" i="8"/>
  <c r="F8" i="8" s="1"/>
  <c r="D11" i="8"/>
  <c r="C11" i="8"/>
  <c r="C6" i="8"/>
  <c r="C7" i="8" s="1"/>
  <c r="D17" i="20" l="1"/>
  <c r="D19" i="25"/>
  <c r="D19" i="20"/>
  <c r="D21" i="25"/>
  <c r="D16" i="20"/>
  <c r="D18" i="25"/>
  <c r="D18" i="20"/>
  <c r="D20" i="25"/>
  <c r="F7" i="8"/>
  <c r="F80" i="8" s="1"/>
  <c r="C8" i="8"/>
  <c r="C69" i="8" s="1"/>
  <c r="F791" i="8" l="1"/>
  <c r="F898" i="8"/>
  <c r="F909" i="8"/>
  <c r="F847" i="8"/>
  <c r="F860" i="8"/>
  <c r="F560" i="8"/>
  <c r="F920" i="8"/>
  <c r="F383" i="8"/>
  <c r="F595" i="8"/>
  <c r="F374" i="8"/>
  <c r="F818" i="8"/>
  <c r="F418" i="8"/>
  <c r="F944" i="8"/>
  <c r="F865" i="8"/>
  <c r="F346" i="8"/>
  <c r="F816" i="8"/>
  <c r="F773" i="8"/>
  <c r="F137" i="8"/>
  <c r="F362" i="8"/>
  <c r="F631" i="8"/>
  <c r="F929" i="8"/>
  <c r="F694" i="8"/>
  <c r="F226" i="8"/>
  <c r="F981" i="8"/>
  <c r="F900" i="8"/>
  <c r="F965" i="8"/>
  <c r="F254" i="8"/>
  <c r="F975" i="8"/>
  <c r="F688" i="8"/>
  <c r="F605" i="8"/>
  <c r="F325" i="8"/>
  <c r="F9" i="8"/>
  <c r="F10" i="8" s="1"/>
  <c r="F674" i="8"/>
  <c r="F853" i="8"/>
  <c r="F996" i="8"/>
  <c r="F762" i="8"/>
  <c r="F834" i="8"/>
  <c r="F447" i="8"/>
  <c r="F751" i="8"/>
  <c r="F994" i="8"/>
  <c r="F866" i="8"/>
  <c r="F630" i="8"/>
  <c r="F543" i="8"/>
  <c r="F943" i="8"/>
  <c r="F787" i="8"/>
  <c r="F531" i="8"/>
  <c r="F784" i="8"/>
  <c r="F656" i="8"/>
  <c r="F528" i="8"/>
  <c r="F302" i="8"/>
  <c r="F741" i="8"/>
  <c r="F541" i="8"/>
  <c r="F121" i="8"/>
  <c r="F453" i="8"/>
  <c r="F316" i="8"/>
  <c r="F249" i="8"/>
  <c r="F976" i="8"/>
  <c r="F454" i="8"/>
  <c r="F759" i="8"/>
  <c r="F940" i="8"/>
  <c r="F634" i="8"/>
  <c r="F594" i="8"/>
  <c r="F993" i="8"/>
  <c r="F623" i="8"/>
  <c r="F962" i="8"/>
  <c r="F822" i="8"/>
  <c r="F566" i="8"/>
  <c r="F359" i="8"/>
  <c r="F911" i="8"/>
  <c r="F723" i="8"/>
  <c r="F471" i="8"/>
  <c r="F752" i="8"/>
  <c r="F624" i="8"/>
  <c r="F496" i="8"/>
  <c r="F837" i="8"/>
  <c r="F709" i="8"/>
  <c r="F477" i="8"/>
  <c r="F416" i="8"/>
  <c r="F389" i="8"/>
  <c r="F252" i="8"/>
  <c r="F113" i="8"/>
  <c r="F567" i="8"/>
  <c r="F930" i="8"/>
  <c r="F758" i="8"/>
  <c r="F502" i="8"/>
  <c r="F1007" i="8"/>
  <c r="F879" i="8"/>
  <c r="F659" i="8"/>
  <c r="F183" i="8"/>
  <c r="F720" i="8"/>
  <c r="F592" i="8"/>
  <c r="F466" i="8"/>
  <c r="F805" i="8"/>
  <c r="F669" i="8"/>
  <c r="F222" i="8"/>
  <c r="F349" i="8"/>
  <c r="F295" i="8"/>
  <c r="F179" i="8"/>
  <c r="F27" i="8"/>
  <c r="F131" i="8"/>
  <c r="F37" i="8"/>
  <c r="F170" i="8"/>
  <c r="F32" i="8"/>
  <c r="F88" i="8"/>
  <c r="F145" i="8"/>
  <c r="F173" i="8"/>
  <c r="F197" i="8"/>
  <c r="F144" i="8"/>
  <c r="F184" i="8"/>
  <c r="F209" i="8"/>
  <c r="F233" i="8"/>
  <c r="F253" i="8"/>
  <c r="F273" i="8"/>
  <c r="F297" i="8"/>
  <c r="F313" i="8"/>
  <c r="F329" i="8"/>
  <c r="F44" i="8"/>
  <c r="F108" i="8"/>
  <c r="F155" i="8"/>
  <c r="F187" i="8"/>
  <c r="F208" i="8"/>
  <c r="F224" i="8"/>
  <c r="F240" i="8"/>
  <c r="F256" i="8"/>
  <c r="F272" i="8"/>
  <c r="F288" i="8"/>
  <c r="F304" i="8"/>
  <c r="F320" i="8"/>
  <c r="F336" i="8"/>
  <c r="F352" i="8"/>
  <c r="F41" i="8"/>
  <c r="F148" i="8"/>
  <c r="F207" i="8"/>
  <c r="F239" i="8"/>
  <c r="F271" i="8"/>
  <c r="F303" i="8"/>
  <c r="F335" i="8"/>
  <c r="F361" i="8"/>
  <c r="F377" i="8"/>
  <c r="F393" i="8"/>
  <c r="F409" i="8"/>
  <c r="F425" i="8"/>
  <c r="F441" i="8"/>
  <c r="F457" i="8"/>
  <c r="F52" i="8"/>
  <c r="F159" i="8"/>
  <c r="F202" i="8"/>
  <c r="F234" i="8"/>
  <c r="F266" i="8"/>
  <c r="F298" i="8"/>
  <c r="F330" i="8"/>
  <c r="F351" i="8"/>
  <c r="F372" i="8"/>
  <c r="F388" i="8"/>
  <c r="F404" i="8"/>
  <c r="F420" i="8"/>
  <c r="F436" i="8"/>
  <c r="F452" i="8"/>
  <c r="F468" i="8"/>
  <c r="F140" i="8"/>
  <c r="F188" i="8"/>
  <c r="F251" i="8"/>
  <c r="F315" i="8"/>
  <c r="F371" i="8"/>
  <c r="F403" i="8"/>
  <c r="F435" i="8"/>
  <c r="F467" i="8"/>
  <c r="F230" i="8"/>
  <c r="F323" i="8"/>
  <c r="F398" i="8"/>
  <c r="F455" i="8"/>
  <c r="F481" i="8"/>
  <c r="F497" i="8"/>
  <c r="F513" i="8"/>
  <c r="F529" i="8"/>
  <c r="F545" i="8"/>
  <c r="F561" i="8"/>
  <c r="F577" i="8"/>
  <c r="F593" i="8"/>
  <c r="F609" i="8"/>
  <c r="F625" i="8"/>
  <c r="F641" i="8"/>
  <c r="F657" i="8"/>
  <c r="F673" i="8"/>
  <c r="F50" i="8"/>
  <c r="F109" i="8"/>
  <c r="F174" i="8"/>
  <c r="F48" i="8"/>
  <c r="F112" i="8"/>
  <c r="F149" i="8"/>
  <c r="F177" i="8"/>
  <c r="F65" i="8"/>
  <c r="F152" i="8"/>
  <c r="F192" i="8"/>
  <c r="F217" i="8"/>
  <c r="F237" i="8"/>
  <c r="F257" i="8"/>
  <c r="F281" i="8"/>
  <c r="F301" i="8"/>
  <c r="F317" i="8"/>
  <c r="F333" i="8"/>
  <c r="F60" i="8"/>
  <c r="F124" i="8"/>
  <c r="F163" i="8"/>
  <c r="F195" i="8"/>
  <c r="F212" i="8"/>
  <c r="F228" i="8"/>
  <c r="F244" i="8"/>
  <c r="F260" i="8"/>
  <c r="F276" i="8"/>
  <c r="F292" i="8"/>
  <c r="F308" i="8"/>
  <c r="F324" i="8"/>
  <c r="F340" i="8"/>
  <c r="F356" i="8"/>
  <c r="F73" i="8"/>
  <c r="F164" i="8"/>
  <c r="F215" i="8"/>
  <c r="F247" i="8"/>
  <c r="F279" i="8"/>
  <c r="F311" i="8"/>
  <c r="F345" i="8"/>
  <c r="F363" i="8"/>
  <c r="F381" i="8"/>
  <c r="F397" i="8"/>
  <c r="F413" i="8"/>
  <c r="F429" i="8"/>
  <c r="F445" i="8"/>
  <c r="F461" i="8"/>
  <c r="F84" i="8"/>
  <c r="F175" i="8"/>
  <c r="F210" i="8"/>
  <c r="F242" i="8"/>
  <c r="F274" i="8"/>
  <c r="F306" i="8"/>
  <c r="F338" i="8"/>
  <c r="F358" i="8"/>
  <c r="F376" i="8"/>
  <c r="F392" i="8"/>
  <c r="F408" i="8"/>
  <c r="F424" i="8"/>
  <c r="F440" i="8"/>
  <c r="F456" i="8"/>
  <c r="F472" i="8"/>
  <c r="F172" i="8"/>
  <c r="F203" i="8"/>
  <c r="F267" i="8"/>
  <c r="F331" i="8"/>
  <c r="F379" i="8"/>
  <c r="F411" i="8"/>
  <c r="F443" i="8"/>
  <c r="F36" i="8"/>
  <c r="F259" i="8"/>
  <c r="F366" i="8"/>
  <c r="F423" i="8"/>
  <c r="F458" i="8"/>
  <c r="F485" i="8"/>
  <c r="F501" i="8"/>
  <c r="F517" i="8"/>
  <c r="F533" i="8"/>
  <c r="F549" i="8"/>
  <c r="F565" i="8"/>
  <c r="F581" i="8"/>
  <c r="F597" i="8"/>
  <c r="F613" i="8"/>
  <c r="F629" i="8"/>
  <c r="F645" i="8"/>
  <c r="F661" i="8"/>
  <c r="F677" i="8"/>
  <c r="F98" i="8"/>
  <c r="F178" i="8"/>
  <c r="F120" i="8"/>
  <c r="F189" i="8"/>
  <c r="F160" i="8"/>
  <c r="F221" i="8"/>
  <c r="F265" i="8"/>
  <c r="F305" i="8"/>
  <c r="F337" i="8"/>
  <c r="F139" i="8"/>
  <c r="F200" i="8"/>
  <c r="F232" i="8"/>
  <c r="F264" i="8"/>
  <c r="F296" i="8"/>
  <c r="F328" i="8"/>
  <c r="F360" i="8"/>
  <c r="F180" i="8"/>
  <c r="F255" i="8"/>
  <c r="F319" i="8"/>
  <c r="F369" i="8"/>
  <c r="F401" i="8"/>
  <c r="F433" i="8"/>
  <c r="F465" i="8"/>
  <c r="F191" i="8"/>
  <c r="F250" i="8"/>
  <c r="F314" i="8"/>
  <c r="F365" i="8"/>
  <c r="F396" i="8"/>
  <c r="F428" i="8"/>
  <c r="F460" i="8"/>
  <c r="F89" i="8"/>
  <c r="F283" i="8"/>
  <c r="F387" i="8"/>
  <c r="F451" i="8"/>
  <c r="F286" i="8"/>
  <c r="F426" i="8"/>
  <c r="F489" i="8"/>
  <c r="F521" i="8"/>
  <c r="F553" i="8"/>
  <c r="F585" i="8"/>
  <c r="F617" i="8"/>
  <c r="F649" i="8"/>
  <c r="F681" i="8"/>
  <c r="F697" i="8"/>
  <c r="F713" i="8"/>
  <c r="F729" i="8"/>
  <c r="F745" i="8"/>
  <c r="F761" i="8"/>
  <c r="F777" i="8"/>
  <c r="F793" i="8"/>
  <c r="F809" i="8"/>
  <c r="F825" i="8"/>
  <c r="F841" i="8"/>
  <c r="F238" i="8"/>
  <c r="F310" i="8"/>
  <c r="F357" i="8"/>
  <c r="F399" i="8"/>
  <c r="F434" i="8"/>
  <c r="F470" i="8"/>
  <c r="F484" i="8"/>
  <c r="F500" i="8"/>
  <c r="F516" i="8"/>
  <c r="F532" i="8"/>
  <c r="F548" i="8"/>
  <c r="F564" i="8"/>
  <c r="F580" i="8"/>
  <c r="F596" i="8"/>
  <c r="F612" i="8"/>
  <c r="F628" i="8"/>
  <c r="F644" i="8"/>
  <c r="F660" i="8"/>
  <c r="F676" i="8"/>
  <c r="F692" i="8"/>
  <c r="F708" i="8"/>
  <c r="F724" i="8"/>
  <c r="F740" i="8"/>
  <c r="F756" i="8"/>
  <c r="F772" i="8"/>
  <c r="F788" i="8"/>
  <c r="F804" i="8"/>
  <c r="F820" i="8"/>
  <c r="F836" i="8"/>
  <c r="F262" i="8"/>
  <c r="F407" i="8"/>
  <c r="F475" i="8"/>
  <c r="F507" i="8"/>
  <c r="F539" i="8"/>
  <c r="F571" i="8"/>
  <c r="F603" i="8"/>
  <c r="F635" i="8"/>
  <c r="F667" i="8"/>
  <c r="F699" i="8"/>
  <c r="F731" i="8"/>
  <c r="F763" i="8"/>
  <c r="F795" i="8"/>
  <c r="F827" i="8"/>
  <c r="F851" i="8"/>
  <c r="F867" i="8"/>
  <c r="F883" i="8"/>
  <c r="F899" i="8"/>
  <c r="F915" i="8"/>
  <c r="F931" i="8"/>
  <c r="F947" i="8"/>
  <c r="F963" i="8"/>
  <c r="F979" i="8"/>
  <c r="F995" i="8"/>
  <c r="F1011" i="8"/>
  <c r="F100" i="8"/>
  <c r="F375" i="8"/>
  <c r="F503" i="8"/>
  <c r="F559" i="8"/>
  <c r="F278" i="8"/>
  <c r="F386" i="8"/>
  <c r="F478" i="8"/>
  <c r="F510" i="8"/>
  <c r="F542" i="8"/>
  <c r="F574" i="8"/>
  <c r="F606" i="8"/>
  <c r="F638" i="8"/>
  <c r="F670" i="8"/>
  <c r="F702" i="8"/>
  <c r="F734" i="8"/>
  <c r="F766" i="8"/>
  <c r="F798" i="8"/>
  <c r="F830" i="8"/>
  <c r="F854" i="8"/>
  <c r="F870" i="8"/>
  <c r="F886" i="8"/>
  <c r="F902" i="8"/>
  <c r="F918" i="8"/>
  <c r="F934" i="8"/>
  <c r="F950" i="8"/>
  <c r="F966" i="8"/>
  <c r="F982" i="8"/>
  <c r="F998" i="8"/>
  <c r="F1014" i="8"/>
  <c r="F382" i="8"/>
  <c r="F519" i="8"/>
  <c r="F583" i="8"/>
  <c r="F554" i="8"/>
  <c r="F639" i="8"/>
  <c r="F703" i="8"/>
  <c r="F767" i="8"/>
  <c r="F831" i="8"/>
  <c r="F873" i="8"/>
  <c r="F905" i="8"/>
  <c r="F937" i="8"/>
  <c r="F969" i="8"/>
  <c r="F1001" i="8"/>
  <c r="F956" i="8"/>
  <c r="F474" i="8"/>
  <c r="F679" i="8"/>
  <c r="F823" i="8"/>
  <c r="F917" i="8"/>
  <c r="F973" i="8"/>
  <c r="F270" i="8"/>
  <c r="F626" i="8"/>
  <c r="F738" i="8"/>
  <c r="F848" i="8"/>
  <c r="F904" i="8"/>
  <c r="F968" i="8"/>
  <c r="F167" i="8"/>
  <c r="F482" i="8"/>
  <c r="F586" i="8"/>
  <c r="F650" i="8"/>
  <c r="F714" i="8"/>
  <c r="F778" i="8"/>
  <c r="F110" i="8"/>
  <c r="F194" i="8"/>
  <c r="F128" i="8"/>
  <c r="F193" i="8"/>
  <c r="F176" i="8"/>
  <c r="F225" i="8"/>
  <c r="F269" i="8"/>
  <c r="F309" i="8"/>
  <c r="F28" i="8"/>
  <c r="F147" i="8"/>
  <c r="F204" i="8"/>
  <c r="F236" i="8"/>
  <c r="F268" i="8"/>
  <c r="F300" i="8"/>
  <c r="F332" i="8"/>
  <c r="F364" i="8"/>
  <c r="F199" i="8"/>
  <c r="F263" i="8"/>
  <c r="F327" i="8"/>
  <c r="F373" i="8"/>
  <c r="F405" i="8"/>
  <c r="F437" i="8"/>
  <c r="F469" i="8"/>
  <c r="F196" i="8"/>
  <c r="F258" i="8"/>
  <c r="F322" i="8"/>
  <c r="F368" i="8"/>
  <c r="F400" i="8"/>
  <c r="F432" i="8"/>
  <c r="F464" i="8"/>
  <c r="F156" i="8"/>
  <c r="F299" i="8"/>
  <c r="F395" i="8"/>
  <c r="F459" i="8"/>
  <c r="F294" i="8"/>
  <c r="F430" i="8"/>
  <c r="F493" i="8"/>
  <c r="F525" i="8"/>
  <c r="F557" i="8"/>
  <c r="F589" i="8"/>
  <c r="F621" i="8"/>
  <c r="F653" i="8"/>
  <c r="F685" i="8"/>
  <c r="F701" i="8"/>
  <c r="F717" i="8"/>
  <c r="F733" i="8"/>
  <c r="F749" i="8"/>
  <c r="F765" i="8"/>
  <c r="F781" i="8"/>
  <c r="F797" i="8"/>
  <c r="F813" i="8"/>
  <c r="F829" i="8"/>
  <c r="F845" i="8"/>
  <c r="F246" i="8"/>
  <c r="F339" i="8"/>
  <c r="F367" i="8"/>
  <c r="F402" i="8"/>
  <c r="F438" i="8"/>
  <c r="F473" i="8"/>
  <c r="F488" i="8"/>
  <c r="F504" i="8"/>
  <c r="F520" i="8"/>
  <c r="F536" i="8"/>
  <c r="F552" i="8"/>
  <c r="F568" i="8"/>
  <c r="F584" i="8"/>
  <c r="F600" i="8"/>
  <c r="F616" i="8"/>
  <c r="F632" i="8"/>
  <c r="F648" i="8"/>
  <c r="F664" i="8"/>
  <c r="F680" i="8"/>
  <c r="F696" i="8"/>
  <c r="F712" i="8"/>
  <c r="F728" i="8"/>
  <c r="F744" i="8"/>
  <c r="F760" i="8"/>
  <c r="F776" i="8"/>
  <c r="F792" i="8"/>
  <c r="F808" i="8"/>
  <c r="F824" i="8"/>
  <c r="F840" i="8"/>
  <c r="F291" i="8"/>
  <c r="F414" i="8"/>
  <c r="F483" i="8"/>
  <c r="F515" i="8"/>
  <c r="F547" i="8"/>
  <c r="F579" i="8"/>
  <c r="F611" i="8"/>
  <c r="F643" i="8"/>
  <c r="F675" i="8"/>
  <c r="F707" i="8"/>
  <c r="F739" i="8"/>
  <c r="F771" i="8"/>
  <c r="F803" i="8"/>
  <c r="F835" i="8"/>
  <c r="F855" i="8"/>
  <c r="F871" i="8"/>
  <c r="F887" i="8"/>
  <c r="F903" i="8"/>
  <c r="F919" i="8"/>
  <c r="F935" i="8"/>
  <c r="F951" i="8"/>
  <c r="F967" i="8"/>
  <c r="F983" i="8"/>
  <c r="F999" i="8"/>
  <c r="F1015" i="8"/>
  <c r="F227" i="8"/>
  <c r="F410" i="8"/>
  <c r="F511" i="8"/>
  <c r="F575" i="8"/>
  <c r="F307" i="8"/>
  <c r="F415" i="8"/>
  <c r="F486" i="8"/>
  <c r="F518" i="8"/>
  <c r="F550" i="8"/>
  <c r="F582" i="8"/>
  <c r="F614" i="8"/>
  <c r="F646" i="8"/>
  <c r="F678" i="8"/>
  <c r="F710" i="8"/>
  <c r="F742" i="8"/>
  <c r="F774" i="8"/>
  <c r="F806" i="8"/>
  <c r="F838" i="8"/>
  <c r="F858" i="8"/>
  <c r="F874" i="8"/>
  <c r="F890" i="8"/>
  <c r="F906" i="8"/>
  <c r="F922" i="8"/>
  <c r="F938" i="8"/>
  <c r="F954" i="8"/>
  <c r="F970" i="8"/>
  <c r="F986" i="8"/>
  <c r="F1002" i="8"/>
  <c r="F1018" i="8"/>
  <c r="F446" i="8"/>
  <c r="F535" i="8"/>
  <c r="F341" i="8"/>
  <c r="F591" i="8"/>
  <c r="F655" i="8"/>
  <c r="F719" i="8"/>
  <c r="F783" i="8"/>
  <c r="F849" i="8"/>
  <c r="F881" i="8"/>
  <c r="F913" i="8"/>
  <c r="F945" i="8"/>
  <c r="F977" i="8"/>
  <c r="F1009" i="8"/>
  <c r="F964" i="8"/>
  <c r="F570" i="8"/>
  <c r="F711" i="8"/>
  <c r="F861" i="8"/>
  <c r="F933" i="8"/>
  <c r="F989" i="8"/>
  <c r="F498" i="8"/>
  <c r="F658" i="8"/>
  <c r="F770" i="8"/>
  <c r="F864" i="8"/>
  <c r="F912" i="8"/>
  <c r="F984" i="8"/>
  <c r="F243" i="8"/>
  <c r="F514" i="8"/>
  <c r="F602" i="8"/>
  <c r="F666" i="8"/>
  <c r="F730" i="8"/>
  <c r="F794" i="8"/>
  <c r="F852" i="8"/>
  <c r="F884" i="8"/>
  <c r="F916" i="8"/>
  <c r="F1016" i="8"/>
  <c r="F960" i="8"/>
  <c r="F896" i="8"/>
  <c r="F786" i="8"/>
  <c r="F642" i="8"/>
  <c r="F214" i="8"/>
  <c r="F957" i="8"/>
  <c r="F893" i="8"/>
  <c r="F839" i="8"/>
  <c r="F727" i="8"/>
  <c r="F615" i="8"/>
  <c r="F1020" i="8"/>
  <c r="F988" i="8"/>
  <c r="F932" i="8"/>
  <c r="F892" i="8"/>
  <c r="F842" i="8"/>
  <c r="F746" i="8"/>
  <c r="F618" i="8"/>
  <c r="F350" i="8"/>
  <c r="F928" i="8"/>
  <c r="F802" i="8"/>
  <c r="F562" i="8"/>
  <c r="F949" i="8"/>
  <c r="F743" i="8"/>
  <c r="F390" i="8"/>
  <c r="F985" i="8"/>
  <c r="F921" i="8"/>
  <c r="F857" i="8"/>
  <c r="F735" i="8"/>
  <c r="F607" i="8"/>
  <c r="F551" i="8"/>
  <c r="F1022" i="8"/>
  <c r="F990" i="8"/>
  <c r="F958" i="8"/>
  <c r="F926" i="8"/>
  <c r="F894" i="8"/>
  <c r="F862" i="8"/>
  <c r="F814" i="8"/>
  <c r="F750" i="8"/>
  <c r="F686" i="8"/>
  <c r="F622" i="8"/>
  <c r="F558" i="8"/>
  <c r="F494" i="8"/>
  <c r="F334" i="8"/>
  <c r="F527" i="8"/>
  <c r="F326" i="8"/>
  <c r="F1003" i="8"/>
  <c r="F971" i="8"/>
  <c r="F939" i="8"/>
  <c r="F907" i="8"/>
  <c r="F875" i="8"/>
  <c r="F843" i="8"/>
  <c r="F779" i="8"/>
  <c r="F715" i="8"/>
  <c r="F651" i="8"/>
  <c r="F587" i="8"/>
  <c r="F523" i="8"/>
  <c r="F442" i="8"/>
  <c r="F844" i="8"/>
  <c r="F812" i="8"/>
  <c r="F780" i="8"/>
  <c r="F748" i="8"/>
  <c r="F716" i="8"/>
  <c r="F684" i="8"/>
  <c r="F652" i="8"/>
  <c r="F620" i="8"/>
  <c r="F588" i="8"/>
  <c r="F556" i="8"/>
  <c r="F524" i="8"/>
  <c r="F492" i="8"/>
  <c r="F463" i="8"/>
  <c r="F370" i="8"/>
  <c r="F275" i="8"/>
  <c r="F833" i="8"/>
  <c r="F801" i="8"/>
  <c r="F769" i="8"/>
  <c r="F737" i="8"/>
  <c r="F705" i="8"/>
  <c r="F665" i="8"/>
  <c r="F601" i="8"/>
  <c r="F537" i="8"/>
  <c r="F462" i="8"/>
  <c r="F151" i="8"/>
  <c r="F355" i="8"/>
  <c r="F57" i="8"/>
  <c r="F412" i="8"/>
  <c r="F342" i="8"/>
  <c r="F218" i="8"/>
  <c r="F449" i="8"/>
  <c r="F385" i="8"/>
  <c r="F287" i="8"/>
  <c r="F105" i="8"/>
  <c r="F312" i="8"/>
  <c r="F248" i="8"/>
  <c r="F171" i="8"/>
  <c r="F321" i="8"/>
  <c r="F241" i="8"/>
  <c r="F81" i="8"/>
  <c r="F64" i="8"/>
  <c r="F1000" i="8"/>
  <c r="F952" i="8"/>
  <c r="F880" i="8"/>
  <c r="F754" i="8"/>
  <c r="F610" i="8"/>
  <c r="F1021" i="8"/>
  <c r="F941" i="8"/>
  <c r="F877" i="8"/>
  <c r="F807" i="8"/>
  <c r="F695" i="8"/>
  <c r="F538" i="8"/>
  <c r="F1012" i="8"/>
  <c r="F980" i="8"/>
  <c r="F924" i="8"/>
  <c r="F876" i="8"/>
  <c r="F826" i="8"/>
  <c r="F698" i="8"/>
  <c r="F578" i="8"/>
  <c r="F25" i="8"/>
  <c r="F888" i="8"/>
  <c r="F706" i="8"/>
  <c r="F1013" i="8"/>
  <c r="F901" i="8"/>
  <c r="F647" i="8"/>
  <c r="F948" i="8"/>
  <c r="F961" i="8"/>
  <c r="F897" i="8"/>
  <c r="F815" i="8"/>
  <c r="F687" i="8"/>
  <c r="F522" i="8"/>
  <c r="F495" i="8"/>
  <c r="F1010" i="8"/>
  <c r="F978" i="8"/>
  <c r="F946" i="8"/>
  <c r="F914" i="8"/>
  <c r="F882" i="8"/>
  <c r="F850" i="8"/>
  <c r="F790" i="8"/>
  <c r="F726" i="8"/>
  <c r="F662" i="8"/>
  <c r="F598" i="8"/>
  <c r="F534" i="8"/>
  <c r="F450" i="8"/>
  <c r="F206" i="8"/>
  <c r="F487" i="8"/>
  <c r="F1023" i="8"/>
  <c r="F991" i="8"/>
  <c r="F959" i="8"/>
  <c r="F927" i="8"/>
  <c r="F895" i="8"/>
  <c r="F863" i="8"/>
  <c r="F819" i="8"/>
  <c r="F755" i="8"/>
  <c r="F691" i="8"/>
  <c r="F627" i="8"/>
  <c r="F563" i="8"/>
  <c r="F499" i="8"/>
  <c r="F378" i="8"/>
  <c r="F832" i="8"/>
  <c r="F800" i="8"/>
  <c r="F768" i="8"/>
  <c r="F736" i="8"/>
  <c r="F704" i="8"/>
  <c r="F672" i="8"/>
  <c r="F640" i="8"/>
  <c r="F608" i="8"/>
  <c r="F576" i="8"/>
  <c r="F544" i="8"/>
  <c r="F512" i="8"/>
  <c r="F480" i="8"/>
  <c r="F431" i="8"/>
  <c r="F353" i="8"/>
  <c r="F211" i="8"/>
  <c r="F821" i="8"/>
  <c r="F789" i="8"/>
  <c r="F757" i="8"/>
  <c r="F725" i="8"/>
  <c r="F693" i="8"/>
  <c r="F637" i="8"/>
  <c r="F573" i="8"/>
  <c r="F509" i="8"/>
  <c r="F394" i="8"/>
  <c r="F427" i="8"/>
  <c r="F235" i="8"/>
  <c r="F448" i="8"/>
  <c r="F384" i="8"/>
  <c r="F290" i="8"/>
  <c r="F143" i="8"/>
  <c r="F421" i="8"/>
  <c r="F354" i="8"/>
  <c r="F231" i="8"/>
  <c r="F348" i="8"/>
  <c r="F284" i="8"/>
  <c r="F220" i="8"/>
  <c r="F92" i="8"/>
  <c r="F289" i="8"/>
  <c r="F205" i="8"/>
  <c r="F165" i="8"/>
  <c r="F154" i="8"/>
  <c r="F992" i="8"/>
  <c r="F936" i="8"/>
  <c r="F856" i="8"/>
  <c r="F722" i="8"/>
  <c r="F530" i="8"/>
  <c r="F1005" i="8"/>
  <c r="F925" i="8"/>
  <c r="F869" i="8"/>
  <c r="F775" i="8"/>
  <c r="F663" i="8"/>
  <c r="F506" i="8"/>
  <c r="F1004" i="8"/>
  <c r="F972" i="8"/>
  <c r="F908" i="8"/>
  <c r="F868" i="8"/>
  <c r="F810" i="8"/>
  <c r="F682" i="8"/>
  <c r="F546" i="8"/>
  <c r="F1008" i="8"/>
  <c r="F872" i="8"/>
  <c r="F690" i="8"/>
  <c r="F997" i="8"/>
  <c r="F885" i="8"/>
  <c r="F599" i="8"/>
  <c r="F1017" i="8"/>
  <c r="F953" i="8"/>
  <c r="F889" i="8"/>
  <c r="F799" i="8"/>
  <c r="F671" i="8"/>
  <c r="F490" i="8"/>
  <c r="F479" i="8"/>
  <c r="F1006" i="8"/>
  <c r="F974" i="8"/>
  <c r="F942" i="8"/>
  <c r="F910" i="8"/>
  <c r="F878" i="8"/>
  <c r="F846" i="8"/>
  <c r="F782" i="8"/>
  <c r="F718" i="8"/>
  <c r="F654" i="8"/>
  <c r="F590" i="8"/>
  <c r="F526" i="8"/>
  <c r="F422" i="8"/>
  <c r="F68" i="8"/>
  <c r="F439" i="8"/>
  <c r="F1019" i="8"/>
  <c r="F987" i="8"/>
  <c r="F955" i="8"/>
  <c r="F923" i="8"/>
  <c r="F891" i="8"/>
  <c r="F859" i="8"/>
  <c r="F811" i="8"/>
  <c r="F747" i="8"/>
  <c r="F683" i="8"/>
  <c r="F619" i="8"/>
  <c r="F555" i="8"/>
  <c r="F491" i="8"/>
  <c r="F318" i="8"/>
  <c r="F828" i="8"/>
  <c r="F796" i="8"/>
  <c r="F764" i="8"/>
  <c r="F732" i="8"/>
  <c r="F700" i="8"/>
  <c r="F668" i="8"/>
  <c r="F636" i="8"/>
  <c r="F604" i="8"/>
  <c r="F572" i="8"/>
  <c r="F540" i="8"/>
  <c r="F508" i="8"/>
  <c r="F476" i="8"/>
  <c r="F406" i="8"/>
  <c r="F343" i="8"/>
  <c r="F132" i="8"/>
  <c r="F817" i="8"/>
  <c r="F785" i="8"/>
  <c r="F753" i="8"/>
  <c r="F721" i="8"/>
  <c r="F689" i="8"/>
  <c r="F633" i="8"/>
  <c r="F569" i="8"/>
  <c r="F505" i="8"/>
  <c r="F391" i="8"/>
  <c r="F419" i="8"/>
  <c r="F219" i="8"/>
  <c r="F444" i="8"/>
  <c r="F380" i="8"/>
  <c r="F282" i="8"/>
  <c r="F116" i="8"/>
  <c r="F417" i="8"/>
  <c r="F347" i="8"/>
  <c r="F223" i="8"/>
  <c r="F344" i="8"/>
  <c r="F280" i="8"/>
  <c r="F216" i="8"/>
  <c r="F76" i="8"/>
  <c r="F285" i="8"/>
  <c r="F201" i="8"/>
  <c r="F157" i="8"/>
  <c r="F133" i="8"/>
  <c r="F293" i="8"/>
  <c r="F277" i="8"/>
  <c r="F261" i="8"/>
  <c r="F245" i="8"/>
  <c r="F229" i="8"/>
  <c r="F213" i="8"/>
  <c r="F198" i="8"/>
  <c r="F168" i="8"/>
  <c r="F129" i="8"/>
  <c r="F49" i="8"/>
  <c r="F181" i="8"/>
  <c r="F161" i="8"/>
  <c r="F141" i="8"/>
  <c r="F96" i="8"/>
  <c r="F56" i="8"/>
  <c r="F190" i="8"/>
  <c r="F158" i="8"/>
  <c r="F77" i="8"/>
  <c r="F86" i="8"/>
  <c r="F103" i="8"/>
  <c r="F97" i="8"/>
  <c r="F33" i="8"/>
  <c r="F185" i="8"/>
  <c r="F169" i="8"/>
  <c r="F153" i="8"/>
  <c r="F136" i="8"/>
  <c r="F104" i="8"/>
  <c r="F72" i="8"/>
  <c r="F40" i="8"/>
  <c r="F186" i="8"/>
  <c r="F162" i="8"/>
  <c r="F125" i="8"/>
  <c r="F29" i="8"/>
  <c r="F54" i="8"/>
  <c r="F83" i="8"/>
  <c r="F63" i="8"/>
  <c r="C732" i="8"/>
  <c r="C901" i="8"/>
  <c r="C1005" i="8"/>
  <c r="C902" i="8"/>
  <c r="F182" i="8"/>
  <c r="F166" i="8"/>
  <c r="F150" i="8"/>
  <c r="F93" i="8"/>
  <c r="F126" i="8"/>
  <c r="F62" i="8"/>
  <c r="F119" i="8"/>
  <c r="F55" i="8"/>
  <c r="F45" i="8"/>
  <c r="F118" i="8"/>
  <c r="F82" i="8"/>
  <c r="F30" i="8"/>
  <c r="F87" i="8"/>
  <c r="F47" i="8"/>
  <c r="F69" i="8"/>
  <c r="F130" i="8"/>
  <c r="F102" i="8"/>
  <c r="F78" i="8"/>
  <c r="F34" i="8"/>
  <c r="F111" i="8"/>
  <c r="F79" i="8"/>
  <c r="F35" i="8"/>
  <c r="F142" i="8"/>
  <c r="F101" i="8"/>
  <c r="F61" i="8"/>
  <c r="F134" i="8"/>
  <c r="F114" i="8"/>
  <c r="F94" i="8"/>
  <c r="F70" i="8"/>
  <c r="F38" i="8"/>
  <c r="F127" i="8"/>
  <c r="F99" i="8"/>
  <c r="F67" i="8"/>
  <c r="F39" i="8"/>
  <c r="F66" i="8"/>
  <c r="F46" i="8"/>
  <c r="F135" i="8"/>
  <c r="F115" i="8"/>
  <c r="F95" i="8"/>
  <c r="F71" i="8"/>
  <c r="F51" i="8"/>
  <c r="F31" i="8"/>
  <c r="C697" i="8"/>
  <c r="C533" i="8"/>
  <c r="C969" i="8"/>
  <c r="C860" i="8"/>
  <c r="C688" i="8"/>
  <c r="C859" i="8"/>
  <c r="C616" i="8"/>
  <c r="C1006" i="8"/>
  <c r="C648" i="8"/>
  <c r="C527" i="8"/>
  <c r="C387" i="8"/>
  <c r="C443" i="8"/>
  <c r="C818" i="8"/>
  <c r="C815" i="8"/>
  <c r="C945" i="8"/>
  <c r="C774" i="8"/>
  <c r="C944" i="8"/>
  <c r="C761" i="8"/>
  <c r="C617" i="8"/>
  <c r="C316" i="8"/>
  <c r="C964" i="8"/>
  <c r="C935" i="8"/>
  <c r="C849" i="8"/>
  <c r="C764" i="8"/>
  <c r="C678" i="8"/>
  <c r="C932" i="8"/>
  <c r="C848" i="8"/>
  <c r="C745" i="8"/>
  <c r="C594" i="8"/>
  <c r="C595" i="8"/>
  <c r="C373" i="8"/>
  <c r="C94" i="8"/>
  <c r="C958" i="8"/>
  <c r="C925" i="8"/>
  <c r="C798" i="8"/>
  <c r="C710" i="8"/>
  <c r="C636" i="8"/>
  <c r="C923" i="8"/>
  <c r="C881" i="8"/>
  <c r="C835" i="8"/>
  <c r="C792" i="8"/>
  <c r="C729" i="8"/>
  <c r="C665" i="8"/>
  <c r="C573" i="8"/>
  <c r="C485" i="8"/>
  <c r="C574" i="8"/>
  <c r="C488" i="8"/>
  <c r="C415" i="8"/>
  <c r="C356" i="8"/>
  <c r="C251" i="8"/>
  <c r="C31" i="8"/>
  <c r="C170" i="8"/>
  <c r="C996" i="8"/>
  <c r="C993" i="8"/>
  <c r="C892" i="8"/>
  <c r="C808" i="8"/>
  <c r="C720" i="8"/>
  <c r="C643" i="8"/>
  <c r="C891" i="8"/>
  <c r="C803" i="8"/>
  <c r="C681" i="8"/>
  <c r="C507" i="8"/>
  <c r="C512" i="8"/>
  <c r="C430" i="8"/>
  <c r="C287" i="8"/>
  <c r="C987" i="8"/>
  <c r="C982" i="8"/>
  <c r="C880" i="8"/>
  <c r="C840" i="8"/>
  <c r="C752" i="8"/>
  <c r="C668" i="8"/>
  <c r="C1017" i="8"/>
  <c r="C975" i="8"/>
  <c r="C1016" i="8"/>
  <c r="C957" i="8"/>
  <c r="C912" i="8"/>
  <c r="C870" i="8"/>
  <c r="C830" i="8"/>
  <c r="C784" i="8"/>
  <c r="C742" i="8"/>
  <c r="C700" i="8"/>
  <c r="C656" i="8"/>
  <c r="C955" i="8"/>
  <c r="C913" i="8"/>
  <c r="C869" i="8"/>
  <c r="C825" i="8"/>
  <c r="C777" i="8"/>
  <c r="C713" i="8"/>
  <c r="C638" i="8"/>
  <c r="C550" i="8"/>
  <c r="C463" i="8"/>
  <c r="C555" i="8"/>
  <c r="C459" i="8"/>
  <c r="C401" i="8"/>
  <c r="C339" i="8"/>
  <c r="C211" i="8"/>
  <c r="C108" i="8"/>
  <c r="C1021" i="8"/>
  <c r="C1001" i="8"/>
  <c r="C981" i="8"/>
  <c r="C966" i="8"/>
  <c r="C1022" i="8"/>
  <c r="C999" i="8"/>
  <c r="C976" i="8"/>
  <c r="C941" i="8"/>
  <c r="C918" i="8"/>
  <c r="C896" i="8"/>
  <c r="C876" i="8"/>
  <c r="C855" i="8"/>
  <c r="C834" i="8"/>
  <c r="C814" i="8"/>
  <c r="C791" i="8"/>
  <c r="C768" i="8"/>
  <c r="C748" i="8"/>
  <c r="C726" i="8"/>
  <c r="C704" i="8"/>
  <c r="C684" i="8"/>
  <c r="C662" i="8"/>
  <c r="C645" i="8"/>
  <c r="C634" i="8"/>
  <c r="C938" i="8"/>
  <c r="C917" i="8"/>
  <c r="C897" i="8"/>
  <c r="C875" i="8"/>
  <c r="C852" i="8"/>
  <c r="C831" i="8"/>
  <c r="C809" i="8"/>
  <c r="C785" i="8"/>
  <c r="C753" i="8"/>
  <c r="C721" i="8"/>
  <c r="C689" i="8"/>
  <c r="C657" i="8"/>
  <c r="C606" i="8"/>
  <c r="C561" i="8"/>
  <c r="C517" i="8"/>
  <c r="C475" i="8"/>
  <c r="C605" i="8"/>
  <c r="C564" i="8"/>
  <c r="C524" i="8"/>
  <c r="C472" i="8"/>
  <c r="C437" i="8"/>
  <c r="C409" i="8"/>
  <c r="C379" i="8"/>
  <c r="C347" i="8"/>
  <c r="C303" i="8"/>
  <c r="C231" i="8"/>
  <c r="C130" i="8"/>
  <c r="C151" i="8"/>
  <c r="C1011" i="8"/>
  <c r="C990" i="8"/>
  <c r="C972" i="8"/>
  <c r="C961" i="8"/>
  <c r="C1010" i="8"/>
  <c r="C989" i="8"/>
  <c r="C951" i="8"/>
  <c r="C929" i="8"/>
  <c r="C908" i="8"/>
  <c r="C886" i="8"/>
  <c r="C864" i="8"/>
  <c r="C845" i="8"/>
  <c r="C824" i="8"/>
  <c r="C802" i="8"/>
  <c r="C780" i="8"/>
  <c r="C758" i="8"/>
  <c r="C736" i="8"/>
  <c r="C716" i="8"/>
  <c r="C694" i="8"/>
  <c r="C672" i="8"/>
  <c r="C653" i="8"/>
  <c r="C640" i="8"/>
  <c r="C948" i="8"/>
  <c r="C928" i="8"/>
  <c r="C907" i="8"/>
  <c r="C885" i="8"/>
  <c r="C865" i="8"/>
  <c r="C842" i="8"/>
  <c r="C819" i="8"/>
  <c r="C799" i="8"/>
  <c r="C769" i="8"/>
  <c r="C737" i="8"/>
  <c r="C705" i="8"/>
  <c r="C673" i="8"/>
  <c r="C624" i="8"/>
  <c r="C583" i="8"/>
  <c r="C540" i="8"/>
  <c r="C495" i="8"/>
  <c r="C627" i="8"/>
  <c r="C586" i="8"/>
  <c r="C543" i="8"/>
  <c r="C500" i="8"/>
  <c r="C452" i="8"/>
  <c r="C422" i="8"/>
  <c r="C394" i="8"/>
  <c r="C366" i="8"/>
  <c r="C328" i="8"/>
  <c r="C271" i="8"/>
  <c r="C195" i="8"/>
  <c r="C52" i="8"/>
  <c r="C43" i="8"/>
  <c r="C53" i="8"/>
  <c r="C75" i="8"/>
  <c r="C99" i="8"/>
  <c r="C119" i="8"/>
  <c r="C141" i="8"/>
  <c r="C165" i="8"/>
  <c r="C28" i="8"/>
  <c r="C40" i="8"/>
  <c r="C60" i="8"/>
  <c r="C79" i="8"/>
  <c r="C100" i="8"/>
  <c r="C122" i="8"/>
  <c r="C140" i="8"/>
  <c r="C162" i="8"/>
  <c r="C183" i="8"/>
  <c r="C192" i="8"/>
  <c r="C203" i="8"/>
  <c r="C215" i="8"/>
  <c r="C224" i="8"/>
  <c r="C235" i="8"/>
  <c r="C247" i="8"/>
  <c r="C256" i="8"/>
  <c r="C267" i="8"/>
  <c r="C279" i="8"/>
  <c r="C288" i="8"/>
  <c r="C298" i="8"/>
  <c r="C306" i="8"/>
  <c r="C312" i="8"/>
  <c r="C319" i="8"/>
  <c r="C327" i="8"/>
  <c r="C332" i="8"/>
  <c r="C338" i="8"/>
  <c r="C343" i="8"/>
  <c r="C348" i="8"/>
  <c r="C354" i="8"/>
  <c r="C359" i="8"/>
  <c r="C364" i="8"/>
  <c r="C368" i="8"/>
  <c r="C372" i="8"/>
  <c r="C376" i="8"/>
  <c r="C380" i="8"/>
  <c r="C384" i="8"/>
  <c r="C388" i="8"/>
  <c r="C392" i="8"/>
  <c r="C396" i="8"/>
  <c r="C400" i="8"/>
  <c r="C404" i="8"/>
  <c r="C408" i="8"/>
  <c r="C412" i="8"/>
  <c r="C416" i="8"/>
  <c r="C420" i="8"/>
  <c r="C424" i="8"/>
  <c r="C428" i="8"/>
  <c r="C432" i="8"/>
  <c r="C436" i="8"/>
  <c r="C440" i="8"/>
  <c r="C444" i="8"/>
  <c r="C449" i="8"/>
  <c r="C453" i="8"/>
  <c r="C457" i="8"/>
  <c r="C462" i="8"/>
  <c r="C470" i="8"/>
  <c r="C478" i="8"/>
  <c r="C486" i="8"/>
  <c r="C494" i="8"/>
  <c r="C502" i="8"/>
  <c r="C59" i="8"/>
  <c r="C84" i="8"/>
  <c r="C117" i="8"/>
  <c r="C149" i="8"/>
  <c r="C173" i="8"/>
  <c r="C36" i="8"/>
  <c r="C62" i="8"/>
  <c r="C92" i="8"/>
  <c r="C115" i="8"/>
  <c r="C146" i="8"/>
  <c r="C172" i="8"/>
  <c r="C191" i="8"/>
  <c r="C207" i="8"/>
  <c r="C219" i="8"/>
  <c r="C232" i="8"/>
  <c r="C248" i="8"/>
  <c r="C263" i="8"/>
  <c r="C275" i="8"/>
  <c r="C291" i="8"/>
  <c r="C302" i="8"/>
  <c r="C311" i="8"/>
  <c r="C322" i="8"/>
  <c r="C330" i="8"/>
  <c r="C336" i="8"/>
  <c r="C344" i="8"/>
  <c r="C351" i="8"/>
  <c r="C358" i="8"/>
  <c r="C365" i="8"/>
  <c r="C370" i="8"/>
  <c r="C375" i="8"/>
  <c r="C381" i="8"/>
  <c r="C386" i="8"/>
  <c r="C391" i="8"/>
  <c r="C397" i="8"/>
  <c r="C402" i="8"/>
  <c r="C407" i="8"/>
  <c r="C413" i="8"/>
  <c r="C418" i="8"/>
  <c r="C423" i="8"/>
  <c r="C429" i="8"/>
  <c r="C434" i="8"/>
  <c r="C439" i="8"/>
  <c r="C446" i="8"/>
  <c r="C451" i="8"/>
  <c r="C456" i="8"/>
  <c r="C464" i="8"/>
  <c r="C474" i="8"/>
  <c r="C484" i="8"/>
  <c r="C496" i="8"/>
  <c r="C506" i="8"/>
  <c r="C514" i="8"/>
  <c r="C522" i="8"/>
  <c r="C530" i="8"/>
  <c r="C537" i="8"/>
  <c r="C545" i="8"/>
  <c r="C553" i="8"/>
  <c r="C560" i="8"/>
  <c r="C568" i="8"/>
  <c r="C576" i="8"/>
  <c r="C584" i="8"/>
  <c r="C591" i="8"/>
  <c r="C599" i="8"/>
  <c r="C607" i="8"/>
  <c r="C615" i="8"/>
  <c r="C623" i="8"/>
  <c r="C631" i="8"/>
  <c r="C465" i="8"/>
  <c r="C473" i="8"/>
  <c r="C481" i="8"/>
  <c r="C489" i="8"/>
  <c r="C497" i="8"/>
  <c r="C505" i="8"/>
  <c r="C513" i="8"/>
  <c r="C521" i="8"/>
  <c r="C529" i="8"/>
  <c r="C538" i="8"/>
  <c r="C546" i="8"/>
  <c r="C554" i="8"/>
  <c r="C563" i="8"/>
  <c r="C571" i="8"/>
  <c r="C579" i="8"/>
  <c r="C587" i="8"/>
  <c r="C596" i="8"/>
  <c r="C604" i="8"/>
  <c r="C612" i="8"/>
  <c r="C39" i="8"/>
  <c r="C82" i="8"/>
  <c r="C125" i="8"/>
  <c r="C157" i="8"/>
  <c r="C35" i="8"/>
  <c r="C68" i="8"/>
  <c r="C107" i="8"/>
  <c r="C138" i="8"/>
  <c r="C178" i="8"/>
  <c r="C199" i="8"/>
  <c r="C216" i="8"/>
  <c r="C239" i="8"/>
  <c r="C255" i="8"/>
  <c r="C272" i="8"/>
  <c r="C295" i="8"/>
  <c r="C307" i="8"/>
  <c r="C318" i="8"/>
  <c r="C331" i="8"/>
  <c r="C340" i="8"/>
  <c r="C350" i="8"/>
  <c r="C360" i="8"/>
  <c r="C367" i="8"/>
  <c r="C374" i="8"/>
  <c r="C382" i="8"/>
  <c r="C389" i="8"/>
  <c r="C395" i="8"/>
  <c r="C403" i="8"/>
  <c r="C410" i="8"/>
  <c r="C417" i="8"/>
  <c r="C425" i="8"/>
  <c r="C431" i="8"/>
  <c r="C438" i="8"/>
  <c r="C447" i="8"/>
  <c r="C454" i="8"/>
  <c r="C461" i="8"/>
  <c r="C476" i="8"/>
  <c r="C490" i="8"/>
  <c r="C504" i="8"/>
  <c r="C516" i="8"/>
  <c r="C526" i="8"/>
  <c r="C535" i="8"/>
  <c r="C547" i="8"/>
  <c r="C557" i="8"/>
  <c r="C566" i="8"/>
  <c r="C578" i="8"/>
  <c r="C588" i="8"/>
  <c r="C597" i="8"/>
  <c r="C609" i="8"/>
  <c r="C619" i="8"/>
  <c r="C629" i="8"/>
  <c r="C467" i="8"/>
  <c r="C477" i="8"/>
  <c r="C487" i="8"/>
  <c r="C499" i="8"/>
  <c r="C509" i="8"/>
  <c r="C519" i="8"/>
  <c r="C531" i="8"/>
  <c r="C542" i="8"/>
  <c r="C552" i="8"/>
  <c r="C565" i="8"/>
  <c r="C575" i="8"/>
  <c r="C585" i="8"/>
  <c r="C598" i="8"/>
  <c r="C608" i="8"/>
  <c r="C618" i="8"/>
  <c r="C626" i="8"/>
  <c r="C650" i="8"/>
  <c r="C659" i="8"/>
  <c r="C667" i="8"/>
  <c r="C675" i="8"/>
  <c r="C683" i="8"/>
  <c r="C691" i="8"/>
  <c r="C699" i="8"/>
  <c r="C707" i="8"/>
  <c r="C715" i="8"/>
  <c r="C723" i="8"/>
  <c r="C731" i="8"/>
  <c r="C739" i="8"/>
  <c r="C747" i="8"/>
  <c r="C755" i="8"/>
  <c r="C763" i="8"/>
  <c r="C771" i="8"/>
  <c r="C779" i="8"/>
  <c r="C786" i="8"/>
  <c r="C793" i="8"/>
  <c r="C67" i="8"/>
  <c r="C102" i="8"/>
  <c r="C135" i="8"/>
  <c r="C26" i="8"/>
  <c r="C47" i="8"/>
  <c r="C85" i="8"/>
  <c r="C124" i="8"/>
  <c r="C156" i="8"/>
  <c r="C187" i="8"/>
  <c r="C208" i="8"/>
  <c r="C227" i="8"/>
  <c r="C243" i="8"/>
  <c r="C264" i="8"/>
  <c r="C283" i="8"/>
  <c r="C300" i="8"/>
  <c r="C314" i="8"/>
  <c r="C324" i="8"/>
  <c r="C335" i="8"/>
  <c r="C346" i="8"/>
  <c r="C355" i="8"/>
  <c r="C363" i="8"/>
  <c r="C371" i="8"/>
  <c r="C378" i="8"/>
  <c r="C385" i="8"/>
  <c r="C393" i="8"/>
  <c r="C399" i="8"/>
  <c r="C406" i="8"/>
  <c r="C414" i="8"/>
  <c r="C421" i="8"/>
  <c r="C427" i="8"/>
  <c r="C435" i="8"/>
  <c r="C442" i="8"/>
  <c r="C450" i="8"/>
  <c r="C458" i="8"/>
  <c r="C468" i="8"/>
  <c r="C482" i="8"/>
  <c r="C498" i="8"/>
  <c r="C510" i="8"/>
  <c r="C520" i="8"/>
  <c r="C532" i="8"/>
  <c r="C541" i="8"/>
  <c r="C551" i="8"/>
  <c r="C562" i="8"/>
  <c r="C572" i="8"/>
  <c r="C582" i="8"/>
  <c r="C593" i="8"/>
  <c r="C603" i="8"/>
  <c r="C613" i="8"/>
  <c r="C625" i="8"/>
  <c r="C460" i="8"/>
  <c r="C471" i="8"/>
  <c r="C483" i="8"/>
  <c r="C493" i="8"/>
  <c r="C503" i="8"/>
  <c r="C515" i="8"/>
  <c r="C525" i="8"/>
  <c r="C536" i="8"/>
  <c r="C548" i="8"/>
  <c r="C559" i="8"/>
  <c r="C569" i="8"/>
  <c r="C581" i="8"/>
  <c r="C592" i="8"/>
  <c r="C602" i="8"/>
  <c r="C614" i="8"/>
  <c r="C622" i="8"/>
  <c r="C630" i="8"/>
  <c r="C654" i="8"/>
  <c r="C663" i="8"/>
  <c r="C671" i="8"/>
  <c r="C679" i="8"/>
  <c r="C687" i="8"/>
  <c r="C695" i="8"/>
  <c r="C703" i="8"/>
  <c r="C711" i="8"/>
  <c r="C719" i="8"/>
  <c r="C727" i="8"/>
  <c r="C735" i="8"/>
  <c r="C743" i="8"/>
  <c r="C751" i="8"/>
  <c r="C759" i="8"/>
  <c r="C767" i="8"/>
  <c r="C775" i="8"/>
  <c r="C783" i="8"/>
  <c r="C790" i="8"/>
  <c r="C797" i="8"/>
  <c r="C805" i="8"/>
  <c r="C813" i="8"/>
  <c r="C821" i="8"/>
  <c r="C829" i="8"/>
  <c r="C837" i="8"/>
  <c r="C846" i="8"/>
  <c r="C854" i="8"/>
  <c r="C863" i="8"/>
  <c r="C871" i="8"/>
  <c r="C879" i="8"/>
  <c r="C887" i="8"/>
  <c r="C895" i="8"/>
  <c r="C903" i="8"/>
  <c r="C911" i="8"/>
  <c r="C919" i="8"/>
  <c r="C926" i="8"/>
  <c r="C934" i="8"/>
  <c r="C942" i="8"/>
  <c r="C950" i="8"/>
  <c r="C633" i="8"/>
  <c r="C637" i="8"/>
  <c r="C642" i="8"/>
  <c r="C646" i="8"/>
  <c r="C651" i="8"/>
  <c r="C658" i="8"/>
  <c r="C666" i="8"/>
  <c r="C674" i="8"/>
  <c r="C682" i="8"/>
  <c r="C690" i="8"/>
  <c r="C698" i="8"/>
  <c r="C706" i="8"/>
  <c r="C714" i="8"/>
  <c r="C722" i="8"/>
  <c r="C730" i="8"/>
  <c r="C738" i="8"/>
  <c r="C746" i="8"/>
  <c r="C754" i="8"/>
  <c r="C762" i="8"/>
  <c r="C770" i="8"/>
  <c r="C778" i="8"/>
  <c r="C787" i="8"/>
  <c r="C796" i="8"/>
  <c r="C804" i="8"/>
  <c r="C812" i="8"/>
  <c r="C820" i="8"/>
  <c r="C828" i="8"/>
  <c r="C836" i="8"/>
  <c r="C843" i="8"/>
  <c r="C851" i="8"/>
  <c r="C858" i="8"/>
  <c r="C866" i="8"/>
  <c r="C874" i="8"/>
  <c r="C882" i="8"/>
  <c r="C890" i="8"/>
  <c r="C898" i="8"/>
  <c r="C906" i="8"/>
  <c r="C914" i="8"/>
  <c r="C922" i="8"/>
  <c r="C931" i="8"/>
  <c r="C939" i="8"/>
  <c r="C947" i="8"/>
  <c r="C954" i="8"/>
  <c r="C978" i="8"/>
  <c r="C986" i="8"/>
  <c r="C995" i="8"/>
  <c r="C1004" i="8"/>
  <c r="C1012" i="8"/>
  <c r="C1020" i="8"/>
  <c r="C959" i="8"/>
  <c r="C963" i="8"/>
  <c r="C967" i="8"/>
  <c r="C971" i="8"/>
  <c r="C977" i="8"/>
  <c r="C985" i="8"/>
  <c r="C992" i="8"/>
  <c r="C1000" i="8"/>
  <c r="C1007" i="8"/>
  <c r="C1015" i="8"/>
  <c r="C1023" i="8"/>
  <c r="C9" i="8"/>
  <c r="C10" i="8" s="1"/>
  <c r="C1013" i="8"/>
  <c r="C1003" i="8"/>
  <c r="C994" i="8"/>
  <c r="C983" i="8"/>
  <c r="C974" i="8"/>
  <c r="C968" i="8"/>
  <c r="C962" i="8"/>
  <c r="C956" i="8"/>
  <c r="C1014" i="8"/>
  <c r="C1002" i="8"/>
  <c r="C991" i="8"/>
  <c r="C980" i="8"/>
  <c r="C953" i="8"/>
  <c r="C943" i="8"/>
  <c r="C933" i="8"/>
  <c r="C920" i="8"/>
  <c r="C910" i="8"/>
  <c r="C900" i="8"/>
  <c r="C888" i="8"/>
  <c r="C878" i="8"/>
  <c r="C868" i="8"/>
  <c r="C856" i="8"/>
  <c r="C847" i="8"/>
  <c r="C838" i="8"/>
  <c r="C826" i="8"/>
  <c r="C816" i="8"/>
  <c r="C806" i="8"/>
  <c r="C794" i="8"/>
  <c r="C782" i="8"/>
  <c r="C772" i="8"/>
  <c r="C760" i="8"/>
  <c r="C750" i="8"/>
  <c r="C740" i="8"/>
  <c r="C728" i="8"/>
  <c r="C718" i="8"/>
  <c r="C708" i="8"/>
  <c r="C696" i="8"/>
  <c r="C686" i="8"/>
  <c r="C676" i="8"/>
  <c r="C664" i="8"/>
  <c r="C655" i="8"/>
  <c r="C647" i="8"/>
  <c r="C641" i="8"/>
  <c r="C635" i="8"/>
  <c r="C952" i="8"/>
  <c r="C940" i="8"/>
  <c r="C930" i="8"/>
  <c r="C921" i="8"/>
  <c r="C909" i="8"/>
  <c r="C899" i="8"/>
  <c r="C889" i="8"/>
  <c r="C877" i="8"/>
  <c r="C867" i="8"/>
  <c r="C857" i="8"/>
  <c r="C844" i="8"/>
  <c r="C833" i="8"/>
  <c r="C823" i="8"/>
  <c r="C811" i="8"/>
  <c r="C801" i="8"/>
  <c r="C788" i="8"/>
  <c r="C773" i="8"/>
  <c r="C757" i="8"/>
  <c r="C741" i="8"/>
  <c r="C725" i="8"/>
  <c r="C709" i="8"/>
  <c r="C693" i="8"/>
  <c r="C677" i="8"/>
  <c r="C661" i="8"/>
  <c r="C628" i="8"/>
  <c r="C610" i="8"/>
  <c r="C589" i="8"/>
  <c r="C567" i="8"/>
  <c r="C544" i="8"/>
  <c r="C523" i="8"/>
  <c r="C501" i="8"/>
  <c r="C479" i="8"/>
  <c r="C445" i="8"/>
  <c r="C611" i="8"/>
  <c r="C590" i="8"/>
  <c r="C570" i="8"/>
  <c r="C549" i="8"/>
  <c r="C528" i="8"/>
  <c r="C508" i="8"/>
  <c r="C480" i="8"/>
  <c r="C455" i="8"/>
  <c r="C441" i="8"/>
  <c r="C426" i="8"/>
  <c r="C411" i="8"/>
  <c r="C398" i="8"/>
  <c r="C383" i="8"/>
  <c r="C369" i="8"/>
  <c r="C352" i="8"/>
  <c r="C334" i="8"/>
  <c r="C308" i="8"/>
  <c r="C280" i="8"/>
  <c r="C240" i="8"/>
  <c r="C200" i="8"/>
  <c r="C154" i="8"/>
  <c r="C76" i="8"/>
  <c r="C167" i="8"/>
  <c r="C91" i="8"/>
  <c r="C1019" i="8"/>
  <c r="C1009" i="8"/>
  <c r="C998" i="8"/>
  <c r="C988" i="8"/>
  <c r="C979" i="8"/>
  <c r="C970" i="8"/>
  <c r="C965" i="8"/>
  <c r="C960" i="8"/>
  <c r="C1018" i="8"/>
  <c r="C1008" i="8"/>
  <c r="C997" i="8"/>
  <c r="C984" i="8"/>
  <c r="C973" i="8"/>
  <c r="C949" i="8"/>
  <c r="C937" i="8"/>
  <c r="C927" i="8"/>
  <c r="C916" i="8"/>
  <c r="C904" i="8"/>
  <c r="C894" i="8"/>
  <c r="C884" i="8"/>
  <c r="C872" i="8"/>
  <c r="C862" i="8"/>
  <c r="C853" i="8"/>
  <c r="C841" i="8"/>
  <c r="C832" i="8"/>
  <c r="C822" i="8"/>
  <c r="C810" i="8"/>
  <c r="C800" i="8"/>
  <c r="C789" i="8"/>
  <c r="C776" i="8"/>
  <c r="C766" i="8"/>
  <c r="C756" i="8"/>
  <c r="C744" i="8"/>
  <c r="C734" i="8"/>
  <c r="C724" i="8"/>
  <c r="C712" i="8"/>
  <c r="C702" i="8"/>
  <c r="C692" i="8"/>
  <c r="C680" i="8"/>
  <c r="C670" i="8"/>
  <c r="C660" i="8"/>
  <c r="C649" i="8"/>
  <c r="C644" i="8"/>
  <c r="C639" i="8"/>
  <c r="C632" i="8"/>
  <c r="C946" i="8"/>
  <c r="C936" i="8"/>
  <c r="C924" i="8"/>
  <c r="C915" i="8"/>
  <c r="C905" i="8"/>
  <c r="C893" i="8"/>
  <c r="C883" i="8"/>
  <c r="C873" i="8"/>
  <c r="C861" i="8"/>
  <c r="C850" i="8"/>
  <c r="C839" i="8"/>
  <c r="C827" i="8"/>
  <c r="C817" i="8"/>
  <c r="C807" i="8"/>
  <c r="C795" i="8"/>
  <c r="C781" i="8"/>
  <c r="C765" i="8"/>
  <c r="C749" i="8"/>
  <c r="C733" i="8"/>
  <c r="C717" i="8"/>
  <c r="C701" i="8"/>
  <c r="C685" i="8"/>
  <c r="C669" i="8"/>
  <c r="C652" i="8"/>
  <c r="C620" i="8"/>
  <c r="C600" i="8"/>
  <c r="C577" i="8"/>
  <c r="C556" i="8"/>
  <c r="C534" i="8"/>
  <c r="C511" i="8"/>
  <c r="C491" i="8"/>
  <c r="C469" i="8"/>
  <c r="C621" i="8"/>
  <c r="C601" i="8"/>
  <c r="C580" i="8"/>
  <c r="C558" i="8"/>
  <c r="C539" i="8"/>
  <c r="C518" i="8"/>
  <c r="C492" i="8"/>
  <c r="C466" i="8"/>
  <c r="C448" i="8"/>
  <c r="C433" i="8"/>
  <c r="C419" i="8"/>
  <c r="C405" i="8"/>
  <c r="C390" i="8"/>
  <c r="C377" i="8"/>
  <c r="C362" i="8"/>
  <c r="C342" i="8"/>
  <c r="C323" i="8"/>
  <c r="C296" i="8"/>
  <c r="C259" i="8"/>
  <c r="C223" i="8"/>
  <c r="C184" i="8"/>
  <c r="C109" i="8"/>
  <c r="C45" i="8"/>
  <c r="C133" i="8"/>
  <c r="C51" i="8"/>
  <c r="F146" i="8"/>
  <c r="F117" i="8"/>
  <c r="F85" i="8"/>
  <c r="F53" i="8"/>
  <c r="F138" i="8"/>
  <c r="F122" i="8"/>
  <c r="F106" i="8"/>
  <c r="F90" i="8"/>
  <c r="F74" i="8"/>
  <c r="F58" i="8"/>
  <c r="F42" i="8"/>
  <c r="F26" i="8"/>
  <c r="F123" i="8"/>
  <c r="F107" i="8"/>
  <c r="F91" i="8"/>
  <c r="F75" i="8"/>
  <c r="F59" i="8"/>
  <c r="F43" i="8"/>
  <c r="E28" i="8"/>
  <c r="E32" i="8"/>
  <c r="E36" i="8"/>
  <c r="E40" i="8"/>
  <c r="E44" i="8"/>
  <c r="E48" i="8"/>
  <c r="E52" i="8"/>
  <c r="E56" i="8"/>
  <c r="E60" i="8"/>
  <c r="E64" i="8"/>
  <c r="E68" i="8"/>
  <c r="E72" i="8"/>
  <c r="E76" i="8"/>
  <c r="E80" i="8"/>
  <c r="E84" i="8"/>
  <c r="E88" i="8"/>
  <c r="E92" i="8"/>
  <c r="E96" i="8"/>
  <c r="E100" i="8"/>
  <c r="E104" i="8"/>
  <c r="E108" i="8"/>
  <c r="E112" i="8"/>
  <c r="E116" i="8"/>
  <c r="E120" i="8"/>
  <c r="E124" i="8"/>
  <c r="E128" i="8"/>
  <c r="E132" i="8"/>
  <c r="E136" i="8"/>
  <c r="E27" i="8"/>
  <c r="E31" i="8"/>
  <c r="E35" i="8"/>
  <c r="E39" i="8"/>
  <c r="E43" i="8"/>
  <c r="E47" i="8"/>
  <c r="E51" i="8"/>
  <c r="E55" i="8"/>
  <c r="E59" i="8"/>
  <c r="E63" i="8"/>
  <c r="E67" i="8"/>
  <c r="E71" i="8"/>
  <c r="E75" i="8"/>
  <c r="E79" i="8"/>
  <c r="E83" i="8"/>
  <c r="E87" i="8"/>
  <c r="E91" i="8"/>
  <c r="E95" i="8"/>
  <c r="E99" i="8"/>
  <c r="E103" i="8"/>
  <c r="E107" i="8"/>
  <c r="E111" i="8"/>
  <c r="E115" i="8"/>
  <c r="E119" i="8"/>
  <c r="E123" i="8"/>
  <c r="E127" i="8"/>
  <c r="E131" i="8"/>
  <c r="E135" i="8"/>
  <c r="E26" i="8"/>
  <c r="E34" i="8"/>
  <c r="E42" i="8"/>
  <c r="E50" i="8"/>
  <c r="E58" i="8"/>
  <c r="E66" i="8"/>
  <c r="E74" i="8"/>
  <c r="E82" i="8"/>
  <c r="E90" i="8"/>
  <c r="E98" i="8"/>
  <c r="E106" i="8"/>
  <c r="E114" i="8"/>
  <c r="E122" i="8"/>
  <c r="E130" i="8"/>
  <c r="E139" i="8"/>
  <c r="E143" i="8"/>
  <c r="E147" i="8"/>
  <c r="E151" i="8"/>
  <c r="E155" i="8"/>
  <c r="E159" i="8"/>
  <c r="E163" i="8"/>
  <c r="E167" i="8"/>
  <c r="E171" i="8"/>
  <c r="E175" i="8"/>
  <c r="E179" i="8"/>
  <c r="E183" i="8"/>
  <c r="E187" i="8"/>
  <c r="E191" i="8"/>
  <c r="E29" i="8"/>
  <c r="E37" i="8"/>
  <c r="E45" i="8"/>
  <c r="E53" i="8"/>
  <c r="E61" i="8"/>
  <c r="E69" i="8"/>
  <c r="E77" i="8"/>
  <c r="E85" i="8"/>
  <c r="E93" i="8"/>
  <c r="E101" i="8"/>
  <c r="E109" i="8"/>
  <c r="E117" i="8"/>
  <c r="E125" i="8"/>
  <c r="E133" i="8"/>
  <c r="E138" i="8"/>
  <c r="E142" i="8"/>
  <c r="E146" i="8"/>
  <c r="E150" i="8"/>
  <c r="E154" i="8"/>
  <c r="E158" i="8"/>
  <c r="E162" i="8"/>
  <c r="E166" i="8"/>
  <c r="E170" i="8"/>
  <c r="E174" i="8"/>
  <c r="E178" i="8"/>
  <c r="E182" i="8"/>
  <c r="E186" i="8"/>
  <c r="E190" i="8"/>
  <c r="E194" i="8"/>
  <c r="E198" i="8"/>
  <c r="E38" i="8"/>
  <c r="E54" i="8"/>
  <c r="E70" i="8"/>
  <c r="E86" i="8"/>
  <c r="E102" i="8"/>
  <c r="E118" i="8"/>
  <c r="E134" i="8"/>
  <c r="E141" i="8"/>
  <c r="E149" i="8"/>
  <c r="E157" i="8"/>
  <c r="E165" i="8"/>
  <c r="E173" i="8"/>
  <c r="E181" i="8"/>
  <c r="E189" i="8"/>
  <c r="E196" i="8"/>
  <c r="E202" i="8"/>
  <c r="E206" i="8"/>
  <c r="E210" i="8"/>
  <c r="E214" i="8"/>
  <c r="E218" i="8"/>
  <c r="E222" i="8"/>
  <c r="E226" i="8"/>
  <c r="E230" i="8"/>
  <c r="E234" i="8"/>
  <c r="E238" i="8"/>
  <c r="E242" i="8"/>
  <c r="E246" i="8"/>
  <c r="E250" i="8"/>
  <c r="E254" i="8"/>
  <c r="E258" i="8"/>
  <c r="E262" i="8"/>
  <c r="E266" i="8"/>
  <c r="E270" i="8"/>
  <c r="E274" i="8"/>
  <c r="E278" i="8"/>
  <c r="E282" i="8"/>
  <c r="E286" i="8"/>
  <c r="E290" i="8"/>
  <c r="E294" i="8"/>
  <c r="E298" i="8"/>
  <c r="E302" i="8"/>
  <c r="E306" i="8"/>
  <c r="E310" i="8"/>
  <c r="E314" i="8"/>
  <c r="E318" i="8"/>
  <c r="E322" i="8"/>
  <c r="E326" i="8"/>
  <c r="E330" i="8"/>
  <c r="E334" i="8"/>
  <c r="E338" i="8"/>
  <c r="E33" i="8"/>
  <c r="E49" i="8"/>
  <c r="E65" i="8"/>
  <c r="E81" i="8"/>
  <c r="E97" i="8"/>
  <c r="E113" i="8"/>
  <c r="E129" i="8"/>
  <c r="E144" i="8"/>
  <c r="E152" i="8"/>
  <c r="E160" i="8"/>
  <c r="E168" i="8"/>
  <c r="E176" i="8"/>
  <c r="E184" i="8"/>
  <c r="E192" i="8"/>
  <c r="E201" i="8"/>
  <c r="E205" i="8"/>
  <c r="E209" i="8"/>
  <c r="E213" i="8"/>
  <c r="E217" i="8"/>
  <c r="E221" i="8"/>
  <c r="E225" i="8"/>
  <c r="E229" i="8"/>
  <c r="E233" i="8"/>
  <c r="E237" i="8"/>
  <c r="E241" i="8"/>
  <c r="E245" i="8"/>
  <c r="E249" i="8"/>
  <c r="E253" i="8"/>
  <c r="E257" i="8"/>
  <c r="E261" i="8"/>
  <c r="E265" i="8"/>
  <c r="E269" i="8"/>
  <c r="E273" i="8"/>
  <c r="E277" i="8"/>
  <c r="E281" i="8"/>
  <c r="E285" i="8"/>
  <c r="E289" i="8"/>
  <c r="E293" i="8"/>
  <c r="E297" i="8"/>
  <c r="E301" i="8"/>
  <c r="E305" i="8"/>
  <c r="E309" i="8"/>
  <c r="E313" i="8"/>
  <c r="E317" i="8"/>
  <c r="E321" i="8"/>
  <c r="E325" i="8"/>
  <c r="E329" i="8"/>
  <c r="E333" i="8"/>
  <c r="E337" i="8"/>
  <c r="E341" i="8"/>
  <c r="E345" i="8"/>
  <c r="E349" i="8"/>
  <c r="E353" i="8"/>
  <c r="E357" i="8"/>
  <c r="E361" i="8"/>
  <c r="E365" i="8"/>
  <c r="E30" i="8"/>
  <c r="E62" i="8"/>
  <c r="E94" i="8"/>
  <c r="E126" i="8"/>
  <c r="E153" i="8"/>
  <c r="E169" i="8"/>
  <c r="E185" i="8"/>
  <c r="E195" i="8"/>
  <c r="E204" i="8"/>
  <c r="E212" i="8"/>
  <c r="E220" i="8"/>
  <c r="E228" i="8"/>
  <c r="E236" i="8"/>
  <c r="E244" i="8"/>
  <c r="E252" i="8"/>
  <c r="E260" i="8"/>
  <c r="E268" i="8"/>
  <c r="E276" i="8"/>
  <c r="E284" i="8"/>
  <c r="E292" i="8"/>
  <c r="E300" i="8"/>
  <c r="E308" i="8"/>
  <c r="E316" i="8"/>
  <c r="E324" i="8"/>
  <c r="E332" i="8"/>
  <c r="E343" i="8"/>
  <c r="E350" i="8"/>
  <c r="E352" i="8"/>
  <c r="E359" i="8"/>
  <c r="E366" i="8"/>
  <c r="E370" i="8"/>
  <c r="E374" i="8"/>
  <c r="E378" i="8"/>
  <c r="E382" i="8"/>
  <c r="E386" i="8"/>
  <c r="E390" i="8"/>
  <c r="E394" i="8"/>
  <c r="E398" i="8"/>
  <c r="E402" i="8"/>
  <c r="E406" i="8"/>
  <c r="E410" i="8"/>
  <c r="E414" i="8"/>
  <c r="E418" i="8"/>
  <c r="E422" i="8"/>
  <c r="E426" i="8"/>
  <c r="E430" i="8"/>
  <c r="E434" i="8"/>
  <c r="E438" i="8"/>
  <c r="E442" i="8"/>
  <c r="E446" i="8"/>
  <c r="E450" i="8"/>
  <c r="E454" i="8"/>
  <c r="E458" i="8"/>
  <c r="E462" i="8"/>
  <c r="E466" i="8"/>
  <c r="E470" i="8"/>
  <c r="E41" i="8"/>
  <c r="E73" i="8"/>
  <c r="E105" i="8"/>
  <c r="E137" i="8"/>
  <c r="E148" i="8"/>
  <c r="E164" i="8"/>
  <c r="E180" i="8"/>
  <c r="E199" i="8"/>
  <c r="E207" i="8"/>
  <c r="E215" i="8"/>
  <c r="E223" i="8"/>
  <c r="E231" i="8"/>
  <c r="E239" i="8"/>
  <c r="E247" i="8"/>
  <c r="E255" i="8"/>
  <c r="E263" i="8"/>
  <c r="E271" i="8"/>
  <c r="E279" i="8"/>
  <c r="E287" i="8"/>
  <c r="E295" i="8"/>
  <c r="E303" i="8"/>
  <c r="E311" i="8"/>
  <c r="E319" i="8"/>
  <c r="E327" i="8"/>
  <c r="E335" i="8"/>
  <c r="E340" i="8"/>
  <c r="E347" i="8"/>
  <c r="E354" i="8"/>
  <c r="E356" i="8"/>
  <c r="E363" i="8"/>
  <c r="E369" i="8"/>
  <c r="E373" i="8"/>
  <c r="E377" i="8"/>
  <c r="E381" i="8"/>
  <c r="E385" i="8"/>
  <c r="E389" i="8"/>
  <c r="E393" i="8"/>
  <c r="E397" i="8"/>
  <c r="E401" i="8"/>
  <c r="E405" i="8"/>
  <c r="E409" i="8"/>
  <c r="E413" i="8"/>
  <c r="E417" i="8"/>
  <c r="E421" i="8"/>
  <c r="E425" i="8"/>
  <c r="E429" i="8"/>
  <c r="E433" i="8"/>
  <c r="E437" i="8"/>
  <c r="E441" i="8"/>
  <c r="E445" i="8"/>
  <c r="E449" i="8"/>
  <c r="E453" i="8"/>
  <c r="E457" i="8"/>
  <c r="E461" i="8"/>
  <c r="E465" i="8"/>
  <c r="E469" i="8"/>
  <c r="E473" i="8"/>
  <c r="E78" i="8"/>
  <c r="E161" i="8"/>
  <c r="E46" i="8"/>
  <c r="E110" i="8"/>
  <c r="E145" i="8"/>
  <c r="E177" i="8"/>
  <c r="E197" i="8"/>
  <c r="E208" i="8"/>
  <c r="E224" i="8"/>
  <c r="E240" i="8"/>
  <c r="E256" i="8"/>
  <c r="E272" i="8"/>
  <c r="E288" i="8"/>
  <c r="E304" i="8"/>
  <c r="E320" i="8"/>
  <c r="E336" i="8"/>
  <c r="E344" i="8"/>
  <c r="E351" i="8"/>
  <c r="E358" i="8"/>
  <c r="E368" i="8"/>
  <c r="E376" i="8"/>
  <c r="E384" i="8"/>
  <c r="E392" i="8"/>
  <c r="E400" i="8"/>
  <c r="E408" i="8"/>
  <c r="E416" i="8"/>
  <c r="E424" i="8"/>
  <c r="E432" i="8"/>
  <c r="E440" i="8"/>
  <c r="E448" i="8"/>
  <c r="E456" i="8"/>
  <c r="E464" i="8"/>
  <c r="E472" i="8"/>
  <c r="E121" i="8"/>
  <c r="E172" i="8"/>
  <c r="E193" i="8"/>
  <c r="E216" i="8"/>
  <c r="E243" i="8"/>
  <c r="E251" i="8"/>
  <c r="E280" i="8"/>
  <c r="E307" i="8"/>
  <c r="E315" i="8"/>
  <c r="E342" i="8"/>
  <c r="E346" i="8"/>
  <c r="E380" i="8"/>
  <c r="E383" i="8"/>
  <c r="E387" i="8"/>
  <c r="E412" i="8"/>
  <c r="E415" i="8"/>
  <c r="E419" i="8"/>
  <c r="E444" i="8"/>
  <c r="E447" i="8"/>
  <c r="E451" i="8"/>
  <c r="E474" i="8"/>
  <c r="E478" i="8"/>
  <c r="E482" i="8"/>
  <c r="E486" i="8"/>
  <c r="E490" i="8"/>
  <c r="E494" i="8"/>
  <c r="E498" i="8"/>
  <c r="E502" i="8"/>
  <c r="E506" i="8"/>
  <c r="E510" i="8"/>
  <c r="E514" i="8"/>
  <c r="E518" i="8"/>
  <c r="E522" i="8"/>
  <c r="E526" i="8"/>
  <c r="E530" i="8"/>
  <c r="E534" i="8"/>
  <c r="E538" i="8"/>
  <c r="E542" i="8"/>
  <c r="E546" i="8"/>
  <c r="E550" i="8"/>
  <c r="E554" i="8"/>
  <c r="E558" i="8"/>
  <c r="E562" i="8"/>
  <c r="E566" i="8"/>
  <c r="E570" i="8"/>
  <c r="E574" i="8"/>
  <c r="E578" i="8"/>
  <c r="E582" i="8"/>
  <c r="E586" i="8"/>
  <c r="E590" i="8"/>
  <c r="E594" i="8"/>
  <c r="E598" i="8"/>
  <c r="E602" i="8"/>
  <c r="E606" i="8"/>
  <c r="E610" i="8"/>
  <c r="E614" i="8"/>
  <c r="E618" i="8"/>
  <c r="E622" i="8"/>
  <c r="E626" i="8"/>
  <c r="E630" i="8"/>
  <c r="E634" i="8"/>
  <c r="E638" i="8"/>
  <c r="E642" i="8"/>
  <c r="E646" i="8"/>
  <c r="E650" i="8"/>
  <c r="E654" i="8"/>
  <c r="E658" i="8"/>
  <c r="E662" i="8"/>
  <c r="E666" i="8"/>
  <c r="E670" i="8"/>
  <c r="E674" i="8"/>
  <c r="E678" i="8"/>
  <c r="E682" i="8"/>
  <c r="E686" i="8"/>
  <c r="E690" i="8"/>
  <c r="E694" i="8"/>
  <c r="E698" i="8"/>
  <c r="E702" i="8"/>
  <c r="E706" i="8"/>
  <c r="E710" i="8"/>
  <c r="E714" i="8"/>
  <c r="E718" i="8"/>
  <c r="E722" i="8"/>
  <c r="E726" i="8"/>
  <c r="E730" i="8"/>
  <c r="E734" i="8"/>
  <c r="E738" i="8"/>
  <c r="E742" i="8"/>
  <c r="E746" i="8"/>
  <c r="E750" i="8"/>
  <c r="E754" i="8"/>
  <c r="E758" i="8"/>
  <c r="E762" i="8"/>
  <c r="E766" i="8"/>
  <c r="E770" i="8"/>
  <c r="E774" i="8"/>
  <c r="E778" i="8"/>
  <c r="E782" i="8"/>
  <c r="E786" i="8"/>
  <c r="E790" i="8"/>
  <c r="E794" i="8"/>
  <c r="E798" i="8"/>
  <c r="E802" i="8"/>
  <c r="E806" i="8"/>
  <c r="E810" i="8"/>
  <c r="E814" i="8"/>
  <c r="E818" i="8"/>
  <c r="E822" i="8"/>
  <c r="E826" i="8"/>
  <c r="E830" i="8"/>
  <c r="E834" i="8"/>
  <c r="E838" i="8"/>
  <c r="E842" i="8"/>
  <c r="E89" i="8"/>
  <c r="E156" i="8"/>
  <c r="E203" i="8"/>
  <c r="E232" i="8"/>
  <c r="E259" i="8"/>
  <c r="E267" i="8"/>
  <c r="E296" i="8"/>
  <c r="E323" i="8"/>
  <c r="E331" i="8"/>
  <c r="E348" i="8"/>
  <c r="E362" i="8"/>
  <c r="E388" i="8"/>
  <c r="E391" i="8"/>
  <c r="E395" i="8"/>
  <c r="E420" i="8"/>
  <c r="E423" i="8"/>
  <c r="E427" i="8"/>
  <c r="E452" i="8"/>
  <c r="E455" i="8"/>
  <c r="E459" i="8"/>
  <c r="E477" i="8"/>
  <c r="E481" i="8"/>
  <c r="E485" i="8"/>
  <c r="E489" i="8"/>
  <c r="E493" i="8"/>
  <c r="E497" i="8"/>
  <c r="E501" i="8"/>
  <c r="E505" i="8"/>
  <c r="E509" i="8"/>
  <c r="E513" i="8"/>
  <c r="E517" i="8"/>
  <c r="E521" i="8"/>
  <c r="E525" i="8"/>
  <c r="E529" i="8"/>
  <c r="E533" i="8"/>
  <c r="E537" i="8"/>
  <c r="E541" i="8"/>
  <c r="E545" i="8"/>
  <c r="E549" i="8"/>
  <c r="E553" i="8"/>
  <c r="E557" i="8"/>
  <c r="E561" i="8"/>
  <c r="E565" i="8"/>
  <c r="E569" i="8"/>
  <c r="E573" i="8"/>
  <c r="E577" i="8"/>
  <c r="E581" i="8"/>
  <c r="E585" i="8"/>
  <c r="E589" i="8"/>
  <c r="E593" i="8"/>
  <c r="E597" i="8"/>
  <c r="E601" i="8"/>
  <c r="E605" i="8"/>
  <c r="E609" i="8"/>
  <c r="E613" i="8"/>
  <c r="E617" i="8"/>
  <c r="E621" i="8"/>
  <c r="E625" i="8"/>
  <c r="E629" i="8"/>
  <c r="E633" i="8"/>
  <c r="E637" i="8"/>
  <c r="E641" i="8"/>
  <c r="E645" i="8"/>
  <c r="E649" i="8"/>
  <c r="E653" i="8"/>
  <c r="E657" i="8"/>
  <c r="E661" i="8"/>
  <c r="E665" i="8"/>
  <c r="E669" i="8"/>
  <c r="E673" i="8"/>
  <c r="E677" i="8"/>
  <c r="E681" i="8"/>
  <c r="E685" i="8"/>
  <c r="E689" i="8"/>
  <c r="E693" i="8"/>
  <c r="E697" i="8"/>
  <c r="E701" i="8"/>
  <c r="E705" i="8"/>
  <c r="E709" i="8"/>
  <c r="E713" i="8"/>
  <c r="E717" i="8"/>
  <c r="E721" i="8"/>
  <c r="E725" i="8"/>
  <c r="E729" i="8"/>
  <c r="E733" i="8"/>
  <c r="E737" i="8"/>
  <c r="E741" i="8"/>
  <c r="E745" i="8"/>
  <c r="E749" i="8"/>
  <c r="E753" i="8"/>
  <c r="E757" i="8"/>
  <c r="E761" i="8"/>
  <c r="E765" i="8"/>
  <c r="E769" i="8"/>
  <c r="E773" i="8"/>
  <c r="E777" i="8"/>
  <c r="E781" i="8"/>
  <c r="E785" i="8"/>
  <c r="E789" i="8"/>
  <c r="E793" i="8"/>
  <c r="E797" i="8"/>
  <c r="E801" i="8"/>
  <c r="E805" i="8"/>
  <c r="E809" i="8"/>
  <c r="E813" i="8"/>
  <c r="E817" i="8"/>
  <c r="E821" i="8"/>
  <c r="E825" i="8"/>
  <c r="E829" i="8"/>
  <c r="E833" i="8"/>
  <c r="E837" i="8"/>
  <c r="E841" i="8"/>
  <c r="E845" i="8"/>
  <c r="E57" i="8"/>
  <c r="E140" i="8"/>
  <c r="E219" i="8"/>
  <c r="E248" i="8"/>
  <c r="E275" i="8"/>
  <c r="E371" i="8"/>
  <c r="E399" i="8"/>
  <c r="E428" i="8"/>
  <c r="E435" i="8"/>
  <c r="E463" i="8"/>
  <c r="E480" i="8"/>
  <c r="E488" i="8"/>
  <c r="E496" i="8"/>
  <c r="E504" i="8"/>
  <c r="E512" i="8"/>
  <c r="E520" i="8"/>
  <c r="E528" i="8"/>
  <c r="E536" i="8"/>
  <c r="E544" i="8"/>
  <c r="E552" i="8"/>
  <c r="E560" i="8"/>
  <c r="E568" i="8"/>
  <c r="E576" i="8"/>
  <c r="E584" i="8"/>
  <c r="E592" i="8"/>
  <c r="E600" i="8"/>
  <c r="E608" i="8"/>
  <c r="E616" i="8"/>
  <c r="E624" i="8"/>
  <c r="E632" i="8"/>
  <c r="E640" i="8"/>
  <c r="E648" i="8"/>
  <c r="E656" i="8"/>
  <c r="E664" i="8"/>
  <c r="E672" i="8"/>
  <c r="E680" i="8"/>
  <c r="E688" i="8"/>
  <c r="E696" i="8"/>
  <c r="E704" i="8"/>
  <c r="E712" i="8"/>
  <c r="E720" i="8"/>
  <c r="E728" i="8"/>
  <c r="E736" i="8"/>
  <c r="E744" i="8"/>
  <c r="E752" i="8"/>
  <c r="E760" i="8"/>
  <c r="E768" i="8"/>
  <c r="E776" i="8"/>
  <c r="E784" i="8"/>
  <c r="E792" i="8"/>
  <c r="E800" i="8"/>
  <c r="E808" i="8"/>
  <c r="E816" i="8"/>
  <c r="E824" i="8"/>
  <c r="E832" i="8"/>
  <c r="E840" i="8"/>
  <c r="E848" i="8"/>
  <c r="E852" i="8"/>
  <c r="E856" i="8"/>
  <c r="E860" i="8"/>
  <c r="E864" i="8"/>
  <c r="E868" i="8"/>
  <c r="E872" i="8"/>
  <c r="E876" i="8"/>
  <c r="E880" i="8"/>
  <c r="E884" i="8"/>
  <c r="E888" i="8"/>
  <c r="E892" i="8"/>
  <c r="E896" i="8"/>
  <c r="E900" i="8"/>
  <c r="E904" i="8"/>
  <c r="E908" i="8"/>
  <c r="E912" i="8"/>
  <c r="E916" i="8"/>
  <c r="E920" i="8"/>
  <c r="E924" i="8"/>
  <c r="E928" i="8"/>
  <c r="E932" i="8"/>
  <c r="E936" i="8"/>
  <c r="E940" i="8"/>
  <c r="E944" i="8"/>
  <c r="E948" i="8"/>
  <c r="E952" i="8"/>
  <c r="E956" i="8"/>
  <c r="E960" i="8"/>
  <c r="E964" i="8"/>
  <c r="E968" i="8"/>
  <c r="E972" i="8"/>
  <c r="E976" i="8"/>
  <c r="E980" i="8"/>
  <c r="E984" i="8"/>
  <c r="E988" i="8"/>
  <c r="E992" i="8"/>
  <c r="E996" i="8"/>
  <c r="E1000" i="8"/>
  <c r="E1004" i="8"/>
  <c r="E1008" i="8"/>
  <c r="E1012" i="8"/>
  <c r="E1016" i="8"/>
  <c r="E1020" i="8"/>
  <c r="E396" i="8"/>
  <c r="E467" i="8"/>
  <c r="E476" i="8"/>
  <c r="E492" i="8"/>
  <c r="E516" i="8"/>
  <c r="E532" i="8"/>
  <c r="E548" i="8"/>
  <c r="E564" i="8"/>
  <c r="E580" i="8"/>
  <c r="E188" i="8"/>
  <c r="E235" i="8"/>
  <c r="E264" i="8"/>
  <c r="E291" i="8"/>
  <c r="E355" i="8"/>
  <c r="E364" i="8"/>
  <c r="E372" i="8"/>
  <c r="E379" i="8"/>
  <c r="E407" i="8"/>
  <c r="E436" i="8"/>
  <c r="E443" i="8"/>
  <c r="E471" i="8"/>
  <c r="E475" i="8"/>
  <c r="E483" i="8"/>
  <c r="E491" i="8"/>
  <c r="E499" i="8"/>
  <c r="E507" i="8"/>
  <c r="E515" i="8"/>
  <c r="E523" i="8"/>
  <c r="E531" i="8"/>
  <c r="E539" i="8"/>
  <c r="E547" i="8"/>
  <c r="E555" i="8"/>
  <c r="E563" i="8"/>
  <c r="E571" i="8"/>
  <c r="E579" i="8"/>
  <c r="E587" i="8"/>
  <c r="E595" i="8"/>
  <c r="E603" i="8"/>
  <c r="E611" i="8"/>
  <c r="E619" i="8"/>
  <c r="E627" i="8"/>
  <c r="E635" i="8"/>
  <c r="E643" i="8"/>
  <c r="E651" i="8"/>
  <c r="E659" i="8"/>
  <c r="E667" i="8"/>
  <c r="E675" i="8"/>
  <c r="E683" i="8"/>
  <c r="E691" i="8"/>
  <c r="E699" i="8"/>
  <c r="E707" i="8"/>
  <c r="E715" i="8"/>
  <c r="E723" i="8"/>
  <c r="E731" i="8"/>
  <c r="E739" i="8"/>
  <c r="E747" i="8"/>
  <c r="E755" i="8"/>
  <c r="E763" i="8"/>
  <c r="E771" i="8"/>
  <c r="E779" i="8"/>
  <c r="E787" i="8"/>
  <c r="E795" i="8"/>
  <c r="E803" i="8"/>
  <c r="E811" i="8"/>
  <c r="E819" i="8"/>
  <c r="E827" i="8"/>
  <c r="E835" i="8"/>
  <c r="E843" i="8"/>
  <c r="E847" i="8"/>
  <c r="E851" i="8"/>
  <c r="E855" i="8"/>
  <c r="E859" i="8"/>
  <c r="E863" i="8"/>
  <c r="E867" i="8"/>
  <c r="E871" i="8"/>
  <c r="E875" i="8"/>
  <c r="E879" i="8"/>
  <c r="E883" i="8"/>
  <c r="E887" i="8"/>
  <c r="E891" i="8"/>
  <c r="E895" i="8"/>
  <c r="E899" i="8"/>
  <c r="E903" i="8"/>
  <c r="E907" i="8"/>
  <c r="E911" i="8"/>
  <c r="E915" i="8"/>
  <c r="E919" i="8"/>
  <c r="E923" i="8"/>
  <c r="E927" i="8"/>
  <c r="E931" i="8"/>
  <c r="E935" i="8"/>
  <c r="E939" i="8"/>
  <c r="E943" i="8"/>
  <c r="E947" i="8"/>
  <c r="E951" i="8"/>
  <c r="E955" i="8"/>
  <c r="E959" i="8"/>
  <c r="E963" i="8"/>
  <c r="E967" i="8"/>
  <c r="E971" i="8"/>
  <c r="E975" i="8"/>
  <c r="E979" i="8"/>
  <c r="E983" i="8"/>
  <c r="E987" i="8"/>
  <c r="E991" i="8"/>
  <c r="E995" i="8"/>
  <c r="E999" i="8"/>
  <c r="E1003" i="8"/>
  <c r="E1007" i="8"/>
  <c r="E1011" i="8"/>
  <c r="E1015" i="8"/>
  <c r="E1019" i="8"/>
  <c r="E1023" i="8"/>
  <c r="E211" i="8"/>
  <c r="E283" i="8"/>
  <c r="E312" i="8"/>
  <c r="E339" i="8"/>
  <c r="E367" i="8"/>
  <c r="E403" i="8"/>
  <c r="E431" i="8"/>
  <c r="E460" i="8"/>
  <c r="E484" i="8"/>
  <c r="E500" i="8"/>
  <c r="E508" i="8"/>
  <c r="E524" i="8"/>
  <c r="E540" i="8"/>
  <c r="E556" i="8"/>
  <c r="E572" i="8"/>
  <c r="E227" i="8"/>
  <c r="E375" i="8"/>
  <c r="E404" i="8"/>
  <c r="E479" i="8"/>
  <c r="E511" i="8"/>
  <c r="E543" i="8"/>
  <c r="E575" i="8"/>
  <c r="E596" i="8"/>
  <c r="E612" i="8"/>
  <c r="E628" i="8"/>
  <c r="E644" i="8"/>
  <c r="E660" i="8"/>
  <c r="E676" i="8"/>
  <c r="E692" i="8"/>
  <c r="E708" i="8"/>
  <c r="E724" i="8"/>
  <c r="E740" i="8"/>
  <c r="E756" i="8"/>
  <c r="E772" i="8"/>
  <c r="E788" i="8"/>
  <c r="E804" i="8"/>
  <c r="E820" i="8"/>
  <c r="E836" i="8"/>
  <c r="E846" i="8"/>
  <c r="E854" i="8"/>
  <c r="E862" i="8"/>
  <c r="E870" i="8"/>
  <c r="E878" i="8"/>
  <c r="E886" i="8"/>
  <c r="E894" i="8"/>
  <c r="E902" i="8"/>
  <c r="E910" i="8"/>
  <c r="E918" i="8"/>
  <c r="E926" i="8"/>
  <c r="E934" i="8"/>
  <c r="E942" i="8"/>
  <c r="E950" i="8"/>
  <c r="E958" i="8"/>
  <c r="E966" i="8"/>
  <c r="E974" i="8"/>
  <c r="E982" i="8"/>
  <c r="E990" i="8"/>
  <c r="E998" i="8"/>
  <c r="E1006" i="8"/>
  <c r="E1014" i="8"/>
  <c r="E1022" i="8"/>
  <c r="E961" i="8"/>
  <c r="E969" i="8"/>
  <c r="E977" i="8"/>
  <c r="E985" i="8"/>
  <c r="E993" i="8"/>
  <c r="E1001" i="8"/>
  <c r="E1009" i="8"/>
  <c r="E1017" i="8"/>
  <c r="E200" i="8"/>
  <c r="E360" i="8"/>
  <c r="E495" i="8"/>
  <c r="E527" i="8"/>
  <c r="E588" i="8"/>
  <c r="E636" i="8"/>
  <c r="E668" i="8"/>
  <c r="E700" i="8"/>
  <c r="E732" i="8"/>
  <c r="E764" i="8"/>
  <c r="E780" i="8"/>
  <c r="E812" i="8"/>
  <c r="E844" i="8"/>
  <c r="E850" i="8"/>
  <c r="E866" i="8"/>
  <c r="E890" i="8"/>
  <c r="E906" i="8"/>
  <c r="E922" i="8"/>
  <c r="E938" i="8"/>
  <c r="E954" i="8"/>
  <c r="E978" i="8"/>
  <c r="E994" i="8"/>
  <c r="E1002" i="8"/>
  <c r="E1018" i="8"/>
  <c r="E25" i="8"/>
  <c r="E519" i="8"/>
  <c r="E583" i="8"/>
  <c r="E615" i="8"/>
  <c r="E647" i="8"/>
  <c r="E679" i="8"/>
  <c r="E727" i="8"/>
  <c r="E759" i="8"/>
  <c r="E791" i="8"/>
  <c r="E823" i="8"/>
  <c r="E853" i="8"/>
  <c r="E877" i="8"/>
  <c r="E893" i="8"/>
  <c r="E917" i="8"/>
  <c r="E933" i="8"/>
  <c r="E949" i="8"/>
  <c r="E957" i="8"/>
  <c r="E973" i="8"/>
  <c r="E989" i="8"/>
  <c r="E1013" i="8"/>
  <c r="E299" i="8"/>
  <c r="E411" i="8"/>
  <c r="E439" i="8"/>
  <c r="E468" i="8"/>
  <c r="E503" i="8"/>
  <c r="E535" i="8"/>
  <c r="E567" i="8"/>
  <c r="E591" i="8"/>
  <c r="E607" i="8"/>
  <c r="E623" i="8"/>
  <c r="E639" i="8"/>
  <c r="E655" i="8"/>
  <c r="E671" i="8"/>
  <c r="E687" i="8"/>
  <c r="E703" i="8"/>
  <c r="E719" i="8"/>
  <c r="E735" i="8"/>
  <c r="E751" i="8"/>
  <c r="E767" i="8"/>
  <c r="E783" i="8"/>
  <c r="E799" i="8"/>
  <c r="E815" i="8"/>
  <c r="E831" i="8"/>
  <c r="E849" i="8"/>
  <c r="E857" i="8"/>
  <c r="E865" i="8"/>
  <c r="E873" i="8"/>
  <c r="E881" i="8"/>
  <c r="E889" i="8"/>
  <c r="E897" i="8"/>
  <c r="E905" i="8"/>
  <c r="E913" i="8"/>
  <c r="E921" i="8"/>
  <c r="E929" i="8"/>
  <c r="E937" i="8"/>
  <c r="E945" i="8"/>
  <c r="E953" i="8"/>
  <c r="E559" i="8"/>
  <c r="E604" i="8"/>
  <c r="E620" i="8"/>
  <c r="E652" i="8"/>
  <c r="E684" i="8"/>
  <c r="E716" i="8"/>
  <c r="E748" i="8"/>
  <c r="E796" i="8"/>
  <c r="E828" i="8"/>
  <c r="E858" i="8"/>
  <c r="E874" i="8"/>
  <c r="E882" i="8"/>
  <c r="E898" i="8"/>
  <c r="E914" i="8"/>
  <c r="E930" i="8"/>
  <c r="E946" i="8"/>
  <c r="E962" i="8"/>
  <c r="E970" i="8"/>
  <c r="E986" i="8"/>
  <c r="E1010" i="8"/>
  <c r="E328" i="8"/>
  <c r="E487" i="8"/>
  <c r="E551" i="8"/>
  <c r="E599" i="8"/>
  <c r="E631" i="8"/>
  <c r="E663" i="8"/>
  <c r="E695" i="8"/>
  <c r="E711" i="8"/>
  <c r="E743" i="8"/>
  <c r="E775" i="8"/>
  <c r="E807" i="8"/>
  <c r="E839" i="8"/>
  <c r="E861" i="8"/>
  <c r="E869" i="8"/>
  <c r="E885" i="8"/>
  <c r="E901" i="8"/>
  <c r="E909" i="8"/>
  <c r="E925" i="8"/>
  <c r="E941" i="8"/>
  <c r="E965" i="8"/>
  <c r="E981" i="8"/>
  <c r="E997" i="8"/>
  <c r="E1005" i="8"/>
  <c r="E1021" i="8"/>
  <c r="E9" i="8"/>
  <c r="E10" i="8" s="1"/>
  <c r="C326" i="8"/>
  <c r="C320" i="8"/>
  <c r="C315" i="8"/>
  <c r="C310" i="8"/>
  <c r="C304" i="8"/>
  <c r="C299" i="8"/>
  <c r="C292" i="8"/>
  <c r="C284" i="8"/>
  <c r="C276" i="8"/>
  <c r="C268" i="8"/>
  <c r="C260" i="8"/>
  <c r="C252" i="8"/>
  <c r="C244" i="8"/>
  <c r="C236" i="8"/>
  <c r="C228" i="8"/>
  <c r="C220" i="8"/>
  <c r="C212" i="8"/>
  <c r="C204" i="8"/>
  <c r="C196" i="8"/>
  <c r="C188" i="8"/>
  <c r="C180" i="8"/>
  <c r="C164" i="8"/>
  <c r="C148" i="8"/>
  <c r="C132" i="8"/>
  <c r="C116" i="8"/>
  <c r="C101" i="8"/>
  <c r="C86" i="8"/>
  <c r="C70" i="8"/>
  <c r="C54" i="8"/>
  <c r="C41" i="8"/>
  <c r="C32" i="8"/>
  <c r="C175" i="8"/>
  <c r="C159" i="8"/>
  <c r="C143" i="8"/>
  <c r="C127" i="8"/>
  <c r="C110" i="8"/>
  <c r="C93" i="8"/>
  <c r="C77" i="8"/>
  <c r="C61" i="8"/>
  <c r="C25" i="8"/>
  <c r="C46" i="8"/>
  <c r="C55" i="8"/>
  <c r="C63" i="8"/>
  <c r="C71" i="8"/>
  <c r="C78" i="8"/>
  <c r="C87" i="8"/>
  <c r="C95" i="8"/>
  <c r="C104" i="8"/>
  <c r="C112" i="8"/>
  <c r="C121" i="8"/>
  <c r="C129" i="8"/>
  <c r="C137" i="8"/>
  <c r="C145" i="8"/>
  <c r="C153" i="8"/>
  <c r="C161" i="8"/>
  <c r="C169" i="8"/>
  <c r="C177" i="8"/>
  <c r="C29" i="8"/>
  <c r="C33" i="8"/>
  <c r="C37" i="8"/>
  <c r="C42" i="8"/>
  <c r="C48" i="8"/>
  <c r="C56" i="8"/>
  <c r="C64" i="8"/>
  <c r="C72" i="8"/>
  <c r="C81" i="8"/>
  <c r="C88" i="8"/>
  <c r="C96" i="8"/>
  <c r="C103" i="8"/>
  <c r="C111" i="8"/>
  <c r="C118" i="8"/>
  <c r="C126" i="8"/>
  <c r="C134" i="8"/>
  <c r="C142" i="8"/>
  <c r="C150" i="8"/>
  <c r="C158" i="8"/>
  <c r="C166" i="8"/>
  <c r="C174" i="8"/>
  <c r="C181" i="8"/>
  <c r="C185" i="8"/>
  <c r="C189" i="8"/>
  <c r="C193" i="8"/>
  <c r="C197" i="8"/>
  <c r="C201" i="8"/>
  <c r="C205" i="8"/>
  <c r="C209" i="8"/>
  <c r="C213" i="8"/>
  <c r="C217" i="8"/>
  <c r="C221" i="8"/>
  <c r="C225" i="8"/>
  <c r="C229" i="8"/>
  <c r="C233" i="8"/>
  <c r="C237" i="8"/>
  <c r="C241" i="8"/>
  <c r="C245" i="8"/>
  <c r="C249" i="8"/>
  <c r="C253" i="8"/>
  <c r="C257" i="8"/>
  <c r="C261" i="8"/>
  <c r="C265" i="8"/>
  <c r="C269" i="8"/>
  <c r="C273" i="8"/>
  <c r="C277" i="8"/>
  <c r="C281" i="8"/>
  <c r="C285" i="8"/>
  <c r="C289" i="8"/>
  <c r="C293" i="8"/>
  <c r="C297" i="8"/>
  <c r="C301" i="8"/>
  <c r="C305" i="8"/>
  <c r="C309" i="8"/>
  <c r="C313" i="8"/>
  <c r="C317" i="8"/>
  <c r="C321" i="8"/>
  <c r="C325" i="8"/>
  <c r="C329" i="8"/>
  <c r="C333" i="8"/>
  <c r="C337" i="8"/>
  <c r="C341" i="8"/>
  <c r="C345" i="8"/>
  <c r="C349" i="8"/>
  <c r="C353" i="8"/>
  <c r="C357" i="8"/>
  <c r="C361" i="8"/>
  <c r="C27" i="8"/>
  <c r="C49" i="8"/>
  <c r="C57" i="8"/>
  <c r="C65" i="8"/>
  <c r="C73" i="8"/>
  <c r="C80" i="8"/>
  <c r="C89" i="8"/>
  <c r="C97" i="8"/>
  <c r="C106" i="8"/>
  <c r="C114" i="8"/>
  <c r="C123" i="8"/>
  <c r="C131" i="8"/>
  <c r="C139" i="8"/>
  <c r="C147" i="8"/>
  <c r="C155" i="8"/>
  <c r="C163" i="8"/>
  <c r="C171" i="8"/>
  <c r="C179" i="8"/>
  <c r="C30" i="8"/>
  <c r="C34" i="8"/>
  <c r="C38" i="8"/>
  <c r="C44" i="8"/>
  <c r="C50" i="8"/>
  <c r="C58" i="8"/>
  <c r="C66" i="8"/>
  <c r="C74" i="8"/>
  <c r="C83" i="8"/>
  <c r="C90" i="8"/>
  <c r="C98" i="8"/>
  <c r="C105" i="8"/>
  <c r="C113" i="8"/>
  <c r="C120" i="8"/>
  <c r="C128" i="8"/>
  <c r="C136" i="8"/>
  <c r="C144" i="8"/>
  <c r="C152" i="8"/>
  <c r="C160" i="8"/>
  <c r="C168" i="8"/>
  <c r="C176" i="8"/>
  <c r="C182" i="8"/>
  <c r="C186" i="8"/>
  <c r="C190" i="8"/>
  <c r="C194" i="8"/>
  <c r="C198" i="8"/>
  <c r="C202" i="8"/>
  <c r="C206" i="8"/>
  <c r="C210" i="8"/>
  <c r="C214" i="8"/>
  <c r="C218" i="8"/>
  <c r="C222" i="8"/>
  <c r="C226" i="8"/>
  <c r="C230" i="8"/>
  <c r="C234" i="8"/>
  <c r="C238" i="8"/>
  <c r="C242" i="8"/>
  <c r="C246" i="8"/>
  <c r="C250" i="8"/>
  <c r="C254" i="8"/>
  <c r="C258" i="8"/>
  <c r="C262" i="8"/>
  <c r="C266" i="8"/>
  <c r="C270" i="8"/>
  <c r="C274" i="8"/>
  <c r="C278" i="8"/>
  <c r="C282" i="8"/>
  <c r="C286" i="8"/>
  <c r="C290" i="8"/>
  <c r="C294" i="8"/>
  <c r="F14" i="8" l="1"/>
  <c r="C15" i="8"/>
  <c r="E12" i="8"/>
  <c r="E14" i="8"/>
  <c r="C14" i="8"/>
  <c r="F12" i="8"/>
  <c r="F15" i="8"/>
  <c r="E16" i="8"/>
  <c r="E15" i="8"/>
  <c r="C12" i="8"/>
  <c r="C16" i="8"/>
  <c r="F16" i="8"/>
  <c r="D22" i="20"/>
  <c r="E21" i="20"/>
  <c r="D20" i="20"/>
  <c r="E20" i="20" s="1"/>
  <c r="E12" i="20"/>
  <c r="C9" i="20"/>
  <c r="D8" i="20"/>
  <c r="C8" i="20"/>
  <c r="D7" i="20"/>
  <c r="C7" i="20"/>
  <c r="C22" i="20" s="1"/>
  <c r="D6" i="20"/>
  <c r="C6" i="20"/>
  <c r="F35" i="20"/>
  <c r="D5" i="20" l="1"/>
  <c r="D11" i="20" s="1"/>
  <c r="E11" i="20" s="1"/>
  <c r="F11" i="20" s="1"/>
  <c r="D13" i="25"/>
  <c r="E13" i="25" s="1"/>
  <c r="F13" i="25" s="1"/>
  <c r="C17" i="20"/>
  <c r="C19" i="20" s="1"/>
  <c r="C16" i="20"/>
  <c r="E18" i="25"/>
  <c r="C23" i="20"/>
  <c r="E23" i="20" s="1"/>
  <c r="F23" i="20" s="1"/>
  <c r="D9" i="20"/>
  <c r="E9" i="20" s="1"/>
  <c r="F9" i="20" s="1"/>
  <c r="E6" i="20"/>
  <c r="F6" i="20" s="1"/>
  <c r="E8" i="20"/>
  <c r="F8" i="20" s="1"/>
  <c r="F20" i="20"/>
  <c r="E7" i="20"/>
  <c r="F7" i="20" s="1"/>
  <c r="C10" i="20"/>
  <c r="E10" i="20" s="1"/>
  <c r="F10" i="20" s="1"/>
  <c r="E13" i="20"/>
  <c r="F13" i="20" s="1"/>
  <c r="F21" i="20"/>
  <c r="F12" i="20"/>
  <c r="D25" i="20"/>
  <c r="E25" i="20" s="1"/>
  <c r="F25" i="20" s="1"/>
  <c r="E22" i="20"/>
  <c r="F22" i="20" s="1"/>
  <c r="C18" i="20" l="1"/>
  <c r="F18" i="25"/>
  <c r="C21" i="25"/>
  <c r="E21" i="25" s="1"/>
  <c r="F21" i="25" s="1"/>
  <c r="C20" i="25"/>
  <c r="E20" i="25" s="1"/>
  <c r="F20" i="25" s="1"/>
  <c r="E19" i="25"/>
  <c r="F19" i="25" s="1"/>
  <c r="C24" i="20"/>
  <c r="E24" i="20" s="1"/>
  <c r="F24" i="20" s="1"/>
  <c r="E32" i="20"/>
  <c r="F32" i="20" s="1"/>
  <c r="E31" i="20"/>
  <c r="C36" i="20"/>
  <c r="E36" i="20" s="1"/>
  <c r="F36" i="20" s="1"/>
  <c r="D28" i="25" l="1"/>
  <c r="D29" i="25" s="1"/>
  <c r="E29" i="25" s="1"/>
  <c r="F29" i="25" s="1"/>
  <c r="F30" i="25" s="1"/>
  <c r="F31" i="20"/>
  <c r="E33" i="20"/>
  <c r="F33" i="20" l="1"/>
  <c r="G3" i="6"/>
  <c r="G19" i="6"/>
  <c r="G35" i="6"/>
  <c r="G51" i="6"/>
  <c r="G67" i="6"/>
  <c r="G17" i="6"/>
  <c r="G33" i="6"/>
  <c r="G49" i="6"/>
  <c r="G65" i="6"/>
  <c r="G81" i="6"/>
  <c r="G97" i="6"/>
  <c r="G113" i="6"/>
  <c r="G129" i="6"/>
  <c r="G145" i="6"/>
  <c r="G161" i="6"/>
  <c r="G177" i="6"/>
  <c r="G193" i="6"/>
  <c r="G209" i="6"/>
  <c r="G225" i="6"/>
  <c r="G241" i="6"/>
  <c r="G257" i="6"/>
  <c r="G273" i="6"/>
  <c r="G289" i="6"/>
  <c r="G305" i="6"/>
  <c r="G321" i="6"/>
  <c r="G337" i="6"/>
  <c r="G20" i="6"/>
  <c r="G52" i="6"/>
  <c r="G79" i="6"/>
  <c r="G100" i="6"/>
  <c r="G122" i="6"/>
  <c r="G143" i="6"/>
  <c r="G164" i="6"/>
  <c r="G186" i="6"/>
  <c r="G207" i="6"/>
  <c r="G228" i="6"/>
  <c r="G250" i="6"/>
  <c r="G271" i="6"/>
  <c r="G292" i="6"/>
  <c r="G314" i="6"/>
  <c r="G335" i="6"/>
  <c r="G353" i="6"/>
  <c r="G369" i="6"/>
  <c r="G385" i="6"/>
  <c r="G401" i="6"/>
  <c r="G417" i="6"/>
  <c r="G433" i="6"/>
  <c r="G16" i="6"/>
  <c r="G48" i="6"/>
  <c r="G76" i="6"/>
  <c r="G98" i="6"/>
  <c r="G119" i="6"/>
  <c r="G140" i="6"/>
  <c r="G162" i="6"/>
  <c r="G183" i="6"/>
  <c r="G204" i="6"/>
  <c r="G226" i="6"/>
  <c r="G247" i="6"/>
  <c r="G268" i="6"/>
  <c r="G290" i="6"/>
  <c r="G311" i="6"/>
  <c r="G332" i="6"/>
  <c r="G351" i="6"/>
  <c r="G367" i="6"/>
  <c r="G383" i="6"/>
  <c r="G399" i="6"/>
  <c r="G415" i="6"/>
  <c r="G431" i="6"/>
  <c r="G11" i="6"/>
  <c r="G27" i="6"/>
  <c r="G43" i="6"/>
  <c r="G59" i="6"/>
  <c r="G9" i="6"/>
  <c r="G25" i="6"/>
  <c r="G41" i="6"/>
  <c r="G57" i="6"/>
  <c r="G73" i="6"/>
  <c r="G89" i="6"/>
  <c r="G105" i="6"/>
  <c r="G121" i="6"/>
  <c r="G137" i="6"/>
  <c r="G153" i="6"/>
  <c r="G169" i="6"/>
  <c r="G185" i="6"/>
  <c r="G201" i="6"/>
  <c r="G217" i="6"/>
  <c r="G233" i="6"/>
  <c r="G249" i="6"/>
  <c r="G265" i="6"/>
  <c r="G281" i="6"/>
  <c r="G297" i="6"/>
  <c r="G313" i="6"/>
  <c r="G329" i="6"/>
  <c r="G4" i="6"/>
  <c r="G36" i="6"/>
  <c r="G68" i="6"/>
  <c r="G90" i="6"/>
  <c r="G111" i="6"/>
  <c r="G132" i="6"/>
  <c r="G154" i="6"/>
  <c r="G175" i="6"/>
  <c r="G196" i="6"/>
  <c r="G218" i="6"/>
  <c r="G239" i="6"/>
  <c r="G260" i="6"/>
  <c r="G282" i="6"/>
  <c r="G303" i="6"/>
  <c r="G324" i="6"/>
  <c r="G345" i="6"/>
  <c r="G361" i="6"/>
  <c r="G377" i="6"/>
  <c r="G393" i="6"/>
  <c r="G409" i="6"/>
  <c r="G425" i="6"/>
  <c r="G441" i="6"/>
  <c r="G32" i="6"/>
  <c r="G64" i="6"/>
  <c r="G87" i="6"/>
  <c r="G108" i="6"/>
  <c r="G130" i="6"/>
  <c r="G151" i="6"/>
  <c r="G172" i="6"/>
  <c r="G194" i="6"/>
  <c r="G215" i="6"/>
  <c r="G236" i="6"/>
  <c r="G258" i="6"/>
  <c r="G279" i="6"/>
  <c r="G300" i="6"/>
  <c r="G322" i="6"/>
  <c r="G343" i="6"/>
  <c r="G359" i="6"/>
  <c r="G375" i="6"/>
  <c r="G391" i="6"/>
  <c r="G407" i="6"/>
  <c r="G423" i="6"/>
  <c r="G439" i="6"/>
  <c r="G455" i="6"/>
  <c r="G471" i="6"/>
  <c r="G487" i="6"/>
  <c r="G503" i="6"/>
  <c r="G519" i="6"/>
  <c r="G535" i="6"/>
  <c r="G551" i="6"/>
  <c r="G567" i="6"/>
  <c r="G583" i="6"/>
  <c r="G599" i="6"/>
  <c r="G615" i="6"/>
  <c r="G631" i="6"/>
  <c r="G6" i="6"/>
  <c r="G70" i="6"/>
  <c r="G112" i="6"/>
  <c r="G155" i="6"/>
  <c r="G198" i="6"/>
  <c r="G7" i="6"/>
  <c r="G39" i="6"/>
  <c r="G5" i="6"/>
  <c r="G37" i="6"/>
  <c r="G69" i="6"/>
  <c r="G101" i="6"/>
  <c r="G133" i="6"/>
  <c r="G165" i="6"/>
  <c r="G197" i="6"/>
  <c r="G229" i="6"/>
  <c r="G261" i="6"/>
  <c r="G293" i="6"/>
  <c r="G325" i="6"/>
  <c r="G28" i="6"/>
  <c r="G84" i="6"/>
  <c r="G127" i="6"/>
  <c r="G170" i="6"/>
  <c r="G212" i="6"/>
  <c r="G255" i="6"/>
  <c r="G298" i="6"/>
  <c r="G340" i="6"/>
  <c r="G373" i="6"/>
  <c r="G405" i="6"/>
  <c r="G437" i="6"/>
  <c r="G56" i="6"/>
  <c r="G103" i="6"/>
  <c r="G146" i="6"/>
  <c r="G188" i="6"/>
  <c r="G231" i="6"/>
  <c r="G274" i="6"/>
  <c r="G316" i="6"/>
  <c r="G355" i="6"/>
  <c r="G387" i="6"/>
  <c r="G419" i="6"/>
  <c r="G447" i="6"/>
  <c r="G467" i="6"/>
  <c r="G491" i="6"/>
  <c r="G511" i="6"/>
  <c r="G531" i="6"/>
  <c r="G555" i="6"/>
  <c r="G575" i="6"/>
  <c r="G595" i="6"/>
  <c r="G619" i="6"/>
  <c r="G639" i="6"/>
  <c r="G54" i="6"/>
  <c r="G123" i="6"/>
  <c r="G176" i="6"/>
  <c r="G230" i="6"/>
  <c r="G272" i="6"/>
  <c r="G315" i="6"/>
  <c r="G354" i="6"/>
  <c r="G386" i="6"/>
  <c r="G418" i="6"/>
  <c r="G448" i="6"/>
  <c r="G469" i="6"/>
  <c r="G490" i="6"/>
  <c r="G512" i="6"/>
  <c r="G533" i="6"/>
  <c r="G554" i="6"/>
  <c r="G576" i="6"/>
  <c r="G597" i="6"/>
  <c r="G618" i="6"/>
  <c r="G640" i="6"/>
  <c r="G657" i="6"/>
  <c r="G673" i="6"/>
  <c r="G689" i="6"/>
  <c r="G705" i="6"/>
  <c r="G721" i="6"/>
  <c r="G737" i="6"/>
  <c r="G753" i="6"/>
  <c r="G769" i="6"/>
  <c r="G785" i="6"/>
  <c r="G801" i="6"/>
  <c r="G817" i="6"/>
  <c r="G833" i="6"/>
  <c r="G849" i="6"/>
  <c r="G865" i="6"/>
  <c r="G881" i="6"/>
  <c r="G897" i="6"/>
  <c r="G913" i="6"/>
  <c r="G929" i="6"/>
  <c r="G945" i="6"/>
  <c r="G961" i="6"/>
  <c r="G977" i="6"/>
  <c r="G993" i="6"/>
  <c r="G23" i="6"/>
  <c r="G55" i="6"/>
  <c r="G21" i="6"/>
  <c r="G53" i="6"/>
  <c r="G85" i="6"/>
  <c r="G117" i="6"/>
  <c r="G149" i="6"/>
  <c r="G181" i="6"/>
  <c r="G213" i="6"/>
  <c r="G245" i="6"/>
  <c r="G277" i="6"/>
  <c r="G309" i="6"/>
  <c r="G341" i="6"/>
  <c r="G60" i="6"/>
  <c r="G106" i="6"/>
  <c r="G148" i="6"/>
  <c r="G191" i="6"/>
  <c r="G234" i="6"/>
  <c r="G276" i="6"/>
  <c r="G319" i="6"/>
  <c r="G357" i="6"/>
  <c r="G389" i="6"/>
  <c r="G421" i="6"/>
  <c r="G24" i="6"/>
  <c r="G82" i="6"/>
  <c r="G124" i="6"/>
  <c r="G167" i="6"/>
  <c r="G210" i="6"/>
  <c r="G252" i="6"/>
  <c r="G295" i="6"/>
  <c r="G338" i="6"/>
  <c r="G371" i="6"/>
  <c r="G403" i="6"/>
  <c r="G435" i="6"/>
  <c r="G459" i="6"/>
  <c r="G479" i="6"/>
  <c r="G499" i="6"/>
  <c r="G523" i="6"/>
  <c r="G543" i="6"/>
  <c r="G563" i="6"/>
  <c r="G587" i="6"/>
  <c r="G607" i="6"/>
  <c r="G627" i="6"/>
  <c r="G22" i="6"/>
  <c r="G91" i="6"/>
  <c r="G144" i="6"/>
  <c r="G208" i="6"/>
  <c r="G251" i="6"/>
  <c r="G294" i="6"/>
  <c r="G336" i="6"/>
  <c r="G370" i="6"/>
  <c r="G402" i="6"/>
  <c r="G434" i="6"/>
  <c r="G458" i="6"/>
  <c r="G480" i="6"/>
  <c r="G501" i="6"/>
  <c r="G522" i="6"/>
  <c r="G544" i="6"/>
  <c r="G565" i="6"/>
  <c r="G586" i="6"/>
  <c r="G608" i="6"/>
  <c r="G629" i="6"/>
  <c r="G649" i="6"/>
  <c r="G665" i="6"/>
  <c r="G681" i="6"/>
  <c r="G697" i="6"/>
  <c r="G713" i="6"/>
  <c r="G729" i="6"/>
  <c r="G745" i="6"/>
  <c r="G761" i="6"/>
  <c r="G777" i="6"/>
  <c r="G793" i="6"/>
  <c r="G809" i="6"/>
  <c r="G825" i="6"/>
  <c r="G841" i="6"/>
  <c r="G857" i="6"/>
  <c r="G873" i="6"/>
  <c r="G889" i="6"/>
  <c r="G905" i="6"/>
  <c r="G921" i="6"/>
  <c r="G937" i="6"/>
  <c r="G953" i="6"/>
  <c r="G969" i="6"/>
  <c r="G985" i="6"/>
  <c r="G1001" i="6"/>
  <c r="G62" i="6"/>
  <c r="G107" i="6"/>
  <c r="G150" i="6"/>
  <c r="G192" i="6"/>
  <c r="G235" i="6"/>
  <c r="G278" i="6"/>
  <c r="G320" i="6"/>
  <c r="G358" i="6"/>
  <c r="G390" i="6"/>
  <c r="G422" i="6"/>
  <c r="G450" i="6"/>
  <c r="G472" i="6"/>
  <c r="G493" i="6"/>
  <c r="G514" i="6"/>
  <c r="G536" i="6"/>
  <c r="G557" i="6"/>
  <c r="G578" i="6"/>
  <c r="G600" i="6"/>
  <c r="G621" i="6"/>
  <c r="G642" i="6"/>
  <c r="G659" i="6"/>
  <c r="G675" i="6"/>
  <c r="G691" i="6"/>
  <c r="G707" i="6"/>
  <c r="G723" i="6"/>
  <c r="G739" i="6"/>
  <c r="G755" i="6"/>
  <c r="G771" i="6"/>
  <c r="G787" i="6"/>
  <c r="G803" i="6"/>
  <c r="G819" i="6"/>
  <c r="G835" i="6"/>
  <c r="G851" i="6"/>
  <c r="G867" i="6"/>
  <c r="G883" i="6"/>
  <c r="G899" i="6"/>
  <c r="G915" i="6"/>
  <c r="G931" i="6"/>
  <c r="G947" i="6"/>
  <c r="G963" i="6"/>
  <c r="G979" i="6"/>
  <c r="G15" i="6"/>
  <c r="G13" i="6"/>
  <c r="G77" i="6"/>
  <c r="G141" i="6"/>
  <c r="G205" i="6"/>
  <c r="G269" i="6"/>
  <c r="G333" i="6"/>
  <c r="G95" i="6"/>
  <c r="G180" i="6"/>
  <c r="G266" i="6"/>
  <c r="G349" i="6"/>
  <c r="G413" i="6"/>
  <c r="G71" i="6"/>
  <c r="G156" i="6"/>
  <c r="G242" i="6"/>
  <c r="G327" i="6"/>
  <c r="G395" i="6"/>
  <c r="G451" i="6"/>
  <c r="G495" i="6"/>
  <c r="G539" i="6"/>
  <c r="G579" i="6"/>
  <c r="G623" i="6"/>
  <c r="G80" i="6"/>
  <c r="G187" i="6"/>
  <c r="G283" i="6"/>
  <c r="G362" i="6"/>
  <c r="G426" i="6"/>
  <c r="G474" i="6"/>
  <c r="G517" i="6"/>
  <c r="G560" i="6"/>
  <c r="G602" i="6"/>
  <c r="G645" i="6"/>
  <c r="G677" i="6"/>
  <c r="G709" i="6"/>
  <c r="G741" i="6"/>
  <c r="G773" i="6"/>
  <c r="G805" i="6"/>
  <c r="G837" i="6"/>
  <c r="G869" i="6"/>
  <c r="G901" i="6"/>
  <c r="G933" i="6"/>
  <c r="G965" i="6"/>
  <c r="G997" i="6"/>
  <c r="G75" i="6"/>
  <c r="G128" i="6"/>
  <c r="G182" i="6"/>
  <c r="G246" i="6"/>
  <c r="G299" i="6"/>
  <c r="G350" i="6"/>
  <c r="G398" i="6"/>
  <c r="G438" i="6"/>
  <c r="G466" i="6"/>
  <c r="G498" i="6"/>
  <c r="G525" i="6"/>
  <c r="G552" i="6"/>
  <c r="G584" i="6"/>
  <c r="G610" i="6"/>
  <c r="G637" i="6"/>
  <c r="G663" i="6"/>
  <c r="G47" i="6"/>
  <c r="G45" i="6"/>
  <c r="G109" i="6"/>
  <c r="G173" i="6"/>
  <c r="G237" i="6"/>
  <c r="G301" i="6"/>
  <c r="G44" i="6"/>
  <c r="G138" i="6"/>
  <c r="G223" i="6"/>
  <c r="G308" i="6"/>
  <c r="G381" i="6"/>
  <c r="G8" i="6"/>
  <c r="G114" i="6"/>
  <c r="G199" i="6"/>
  <c r="G284" i="6"/>
  <c r="G363" i="6"/>
  <c r="G427" i="6"/>
  <c r="G475" i="6"/>
  <c r="G515" i="6"/>
  <c r="G559" i="6"/>
  <c r="G603" i="6"/>
  <c r="G643" i="6"/>
  <c r="G134" i="6"/>
  <c r="G240" i="6"/>
  <c r="G326" i="6"/>
  <c r="G394" i="6"/>
  <c r="G453" i="6"/>
  <c r="G496" i="6"/>
  <c r="G538" i="6"/>
  <c r="G581" i="6"/>
  <c r="G624" i="6"/>
  <c r="G661" i="6"/>
  <c r="G693" i="6"/>
  <c r="G725" i="6"/>
  <c r="G757" i="6"/>
  <c r="G789" i="6"/>
  <c r="G821" i="6"/>
  <c r="G853" i="6"/>
  <c r="G885" i="6"/>
  <c r="G917" i="6"/>
  <c r="G949" i="6"/>
  <c r="G981" i="6"/>
  <c r="G30" i="6"/>
  <c r="G96" i="6"/>
  <c r="G160" i="6"/>
  <c r="G214" i="6"/>
  <c r="G267" i="6"/>
  <c r="G331" i="6"/>
  <c r="G374" i="6"/>
  <c r="G414" i="6"/>
  <c r="G456" i="6"/>
  <c r="G482" i="6"/>
  <c r="G509" i="6"/>
  <c r="G541" i="6"/>
  <c r="G568" i="6"/>
  <c r="G594" i="6"/>
  <c r="G626" i="6"/>
  <c r="G651" i="6"/>
  <c r="G671" i="6"/>
  <c r="G695" i="6"/>
  <c r="G715" i="6"/>
  <c r="G735" i="6"/>
  <c r="G759" i="6"/>
  <c r="G779" i="6"/>
  <c r="G799" i="6"/>
  <c r="G823" i="6"/>
  <c r="G843" i="6"/>
  <c r="G863" i="6"/>
  <c r="G887" i="6"/>
  <c r="G907" i="6"/>
  <c r="G927" i="6"/>
  <c r="G951" i="6"/>
  <c r="G971" i="6"/>
  <c r="G991" i="6"/>
  <c r="G986" i="6"/>
  <c r="G930" i="6"/>
  <c r="G874" i="6"/>
  <c r="G826" i="6"/>
  <c r="G770" i="6"/>
  <c r="G722" i="6"/>
  <c r="G666" i="6"/>
  <c r="G598" i="6"/>
  <c r="G492" i="6"/>
  <c r="G974" i="6"/>
  <c r="G942" i="6"/>
  <c r="G910" i="6"/>
  <c r="G878" i="6"/>
  <c r="G846" i="6"/>
  <c r="G814" i="6"/>
  <c r="G782" i="6"/>
  <c r="G750" i="6"/>
  <c r="G718" i="6"/>
  <c r="G686" i="6"/>
  <c r="G654" i="6"/>
  <c r="G614" i="6"/>
  <c r="G572" i="6"/>
  <c r="G529" i="6"/>
  <c r="G486" i="6"/>
  <c r="G444" i="6"/>
  <c r="G380" i="6"/>
  <c r="G307" i="6"/>
  <c r="G222" i="6"/>
  <c r="G136" i="6"/>
  <c r="G42" i="6"/>
  <c r="G972" i="6"/>
  <c r="G940" i="6"/>
  <c r="G908" i="6"/>
  <c r="G876" i="6"/>
  <c r="G844" i="6"/>
  <c r="G812" i="6"/>
  <c r="G780" i="6"/>
  <c r="G748" i="6"/>
  <c r="G716" i="6"/>
  <c r="G684" i="6"/>
  <c r="G652" i="6"/>
  <c r="G612" i="6"/>
  <c r="G569" i="6"/>
  <c r="G526" i="6"/>
  <c r="G484" i="6"/>
  <c r="G440" i="6"/>
  <c r="G376" i="6"/>
  <c r="G302" i="6"/>
  <c r="G216" i="6"/>
  <c r="G131" i="6"/>
  <c r="G34" i="6"/>
  <c r="G938" i="6"/>
  <c r="G858" i="6"/>
  <c r="G778" i="6"/>
  <c r="G698" i="6"/>
  <c r="G609" i="6"/>
  <c r="G524" i="6"/>
  <c r="G470" i="6"/>
  <c r="G420" i="6"/>
  <c r="G356" i="6"/>
  <c r="G275" i="6"/>
  <c r="G190" i="6"/>
  <c r="G104" i="6"/>
  <c r="G1000" i="6"/>
  <c r="G968" i="6"/>
  <c r="G936" i="6"/>
  <c r="G904" i="6"/>
  <c r="G872" i="6"/>
  <c r="G840" i="6"/>
  <c r="G808" i="6"/>
  <c r="G776" i="6"/>
  <c r="G744" i="6"/>
  <c r="G712" i="6"/>
  <c r="G680" i="6"/>
  <c r="G648" i="6"/>
  <c r="G606" i="6"/>
  <c r="G564" i="6"/>
  <c r="G521" i="6"/>
  <c r="G478" i="6"/>
  <c r="G432" i="6"/>
  <c r="G368" i="6"/>
  <c r="G291" i="6"/>
  <c r="G206" i="6"/>
  <c r="G120" i="6"/>
  <c r="G10" i="6"/>
  <c r="G935" i="6"/>
  <c r="G866" i="6"/>
  <c r="G754" i="6"/>
  <c r="G706" i="6"/>
  <c r="G650" i="6"/>
  <c r="G998" i="6"/>
  <c r="G966" i="6"/>
  <c r="G934" i="6"/>
  <c r="G870" i="6"/>
  <c r="G838" i="6"/>
  <c r="G806" i="6"/>
  <c r="G63" i="6"/>
  <c r="G61" i="6"/>
  <c r="G125" i="6"/>
  <c r="G189" i="6"/>
  <c r="G253" i="6"/>
  <c r="G317" i="6"/>
  <c r="G74" i="6"/>
  <c r="G159" i="6"/>
  <c r="G244" i="6"/>
  <c r="G330" i="6"/>
  <c r="G397" i="6"/>
  <c r="G40" i="6"/>
  <c r="G135" i="6"/>
  <c r="G220" i="6"/>
  <c r="G306" i="6"/>
  <c r="G379" i="6"/>
  <c r="G443" i="6"/>
  <c r="G483" i="6"/>
  <c r="G527" i="6"/>
  <c r="G571" i="6"/>
  <c r="G611" i="6"/>
  <c r="G38" i="6"/>
  <c r="G166" i="6"/>
  <c r="G262" i="6"/>
  <c r="G346" i="6"/>
  <c r="G410" i="6"/>
  <c r="G464" i="6"/>
  <c r="G506" i="6"/>
  <c r="G549" i="6"/>
  <c r="G592" i="6"/>
  <c r="G634" i="6"/>
  <c r="G669" i="6"/>
  <c r="G701" i="6"/>
  <c r="G733" i="6"/>
  <c r="G765" i="6"/>
  <c r="G797" i="6"/>
  <c r="G829" i="6"/>
  <c r="G861" i="6"/>
  <c r="G893" i="6"/>
  <c r="G925" i="6"/>
  <c r="G957" i="6"/>
  <c r="G989" i="6"/>
  <c r="G46" i="6"/>
  <c r="G118" i="6"/>
  <c r="G171" i="6"/>
  <c r="G224" i="6"/>
  <c r="G288" i="6"/>
  <c r="G342" i="6"/>
  <c r="G382" i="6"/>
  <c r="G430" i="6"/>
  <c r="G461" i="6"/>
  <c r="G488" i="6"/>
  <c r="G520" i="6"/>
  <c r="G546" i="6"/>
  <c r="G573" i="6"/>
  <c r="G605" i="6"/>
  <c r="G632" i="6"/>
  <c r="G655" i="6"/>
  <c r="G679" i="6"/>
  <c r="G699" i="6"/>
  <c r="G719" i="6"/>
  <c r="G743" i="6"/>
  <c r="G763" i="6"/>
  <c r="G783" i="6"/>
  <c r="G807" i="6"/>
  <c r="G827" i="6"/>
  <c r="G847" i="6"/>
  <c r="G871" i="6"/>
  <c r="G891" i="6"/>
  <c r="G911" i="6"/>
  <c r="G955" i="6"/>
  <c r="G975" i="6"/>
  <c r="G995" i="6"/>
  <c r="G970" i="6"/>
  <c r="G922" i="6"/>
  <c r="G810" i="6"/>
  <c r="G577" i="6"/>
  <c r="G902" i="6"/>
  <c r="G774" i="6"/>
  <c r="G31" i="6"/>
  <c r="G221" i="6"/>
  <c r="G202" i="6"/>
  <c r="G92" i="6"/>
  <c r="G411" i="6"/>
  <c r="G591" i="6"/>
  <c r="G304" i="6"/>
  <c r="G528" i="6"/>
  <c r="G685" i="6"/>
  <c r="G813" i="6"/>
  <c r="G941" i="6"/>
  <c r="G139" i="6"/>
  <c r="G366" i="6"/>
  <c r="G504" i="6"/>
  <c r="G616" i="6"/>
  <c r="G687" i="6"/>
  <c r="G731" i="6"/>
  <c r="G775" i="6"/>
  <c r="G815" i="6"/>
  <c r="G859" i="6"/>
  <c r="G903" i="6"/>
  <c r="G943" i="6"/>
  <c r="G987" i="6"/>
  <c r="G946" i="6"/>
  <c r="G834" i="6"/>
  <c r="G730" i="6"/>
  <c r="G620" i="6"/>
  <c r="G982" i="6"/>
  <c r="G918" i="6"/>
  <c r="G854" i="6"/>
  <c r="G790" i="6"/>
  <c r="G734" i="6"/>
  <c r="G694" i="6"/>
  <c r="G646" i="6"/>
  <c r="G593" i="6"/>
  <c r="G540" i="6"/>
  <c r="G476" i="6"/>
  <c r="G412" i="6"/>
  <c r="G328" i="6"/>
  <c r="G200" i="6"/>
  <c r="G94" i="6"/>
  <c r="G980" i="6"/>
  <c r="G932" i="6"/>
  <c r="G892" i="6"/>
  <c r="G852" i="6"/>
  <c r="G804" i="6"/>
  <c r="G764" i="6"/>
  <c r="G724" i="6"/>
  <c r="G676" i="6"/>
  <c r="G633" i="6"/>
  <c r="G580" i="6"/>
  <c r="G516" i="6"/>
  <c r="G462" i="6"/>
  <c r="G392" i="6"/>
  <c r="G280" i="6"/>
  <c r="G174" i="6"/>
  <c r="G66" i="6"/>
  <c r="G914" i="6"/>
  <c r="G818" i="6"/>
  <c r="G714" i="6"/>
  <c r="G588" i="6"/>
  <c r="G502" i="6"/>
  <c r="G436" i="6"/>
  <c r="G339" i="6"/>
  <c r="G232" i="6"/>
  <c r="G126" i="6"/>
  <c r="G992" i="6"/>
  <c r="G952" i="6"/>
  <c r="G912" i="6"/>
  <c r="G864" i="6"/>
  <c r="G824" i="6"/>
  <c r="G784" i="6"/>
  <c r="G736" i="6"/>
  <c r="G696" i="6"/>
  <c r="G656" i="6"/>
  <c r="G596" i="6"/>
  <c r="G542" i="6"/>
  <c r="G489" i="6"/>
  <c r="G416" i="6"/>
  <c r="G334" i="6"/>
  <c r="G227" i="6"/>
  <c r="G99" i="6"/>
  <c r="G285" i="6"/>
  <c r="G178" i="6"/>
  <c r="G635" i="6"/>
  <c r="G570" i="6"/>
  <c r="G157" i="6"/>
  <c r="G116" i="6"/>
  <c r="G429" i="6"/>
  <c r="G347" i="6"/>
  <c r="G547" i="6"/>
  <c r="G219" i="6"/>
  <c r="G485" i="6"/>
  <c r="G653" i="6"/>
  <c r="G781" i="6"/>
  <c r="G909" i="6"/>
  <c r="G86" i="6"/>
  <c r="G310" i="6"/>
  <c r="G477" i="6"/>
  <c r="G589" i="6"/>
  <c r="G683" i="6"/>
  <c r="G727" i="6"/>
  <c r="G767" i="6"/>
  <c r="G811" i="6"/>
  <c r="G855" i="6"/>
  <c r="G895" i="6"/>
  <c r="G939" i="6"/>
  <c r="G983" i="6"/>
  <c r="G962" i="6"/>
  <c r="G850" i="6"/>
  <c r="G746" i="6"/>
  <c r="G630" i="6"/>
  <c r="G990" i="6"/>
  <c r="G926" i="6"/>
  <c r="G862" i="6"/>
  <c r="G798" i="6"/>
  <c r="G742" i="6"/>
  <c r="G702" i="6"/>
  <c r="G662" i="6"/>
  <c r="G604" i="6"/>
  <c r="G550" i="6"/>
  <c r="G497" i="6"/>
  <c r="G428" i="6"/>
  <c r="G348" i="6"/>
  <c r="G243" i="6"/>
  <c r="G115" i="6"/>
  <c r="G988" i="6"/>
  <c r="G948" i="6"/>
  <c r="G900" i="6"/>
  <c r="G860" i="6"/>
  <c r="G820" i="6"/>
  <c r="G772" i="6"/>
  <c r="G732" i="6"/>
  <c r="G692" i="6"/>
  <c r="G644" i="6"/>
  <c r="G590" i="6"/>
  <c r="G537" i="6"/>
  <c r="G473" i="6"/>
  <c r="G408" i="6"/>
  <c r="G323" i="6"/>
  <c r="G195" i="6"/>
  <c r="G88" i="6"/>
  <c r="G954" i="6"/>
  <c r="G842" i="6"/>
  <c r="G738" i="6"/>
  <c r="G641" i="6"/>
  <c r="G513" i="6"/>
  <c r="G449" i="6"/>
  <c r="G372" i="6"/>
  <c r="G254" i="6"/>
  <c r="G147" i="6"/>
  <c r="G26" i="6"/>
  <c r="G960" i="6"/>
  <c r="G920" i="6"/>
  <c r="G880" i="6"/>
  <c r="G832" i="6"/>
  <c r="G792" i="6"/>
  <c r="G752" i="6"/>
  <c r="G704" i="6"/>
  <c r="G664" i="6"/>
  <c r="G617" i="6"/>
  <c r="G553" i="6"/>
  <c r="G500" i="6"/>
  <c r="G446" i="6"/>
  <c r="G352" i="6"/>
  <c r="G248" i="6"/>
  <c r="G142" i="6"/>
  <c r="G29" i="6"/>
  <c r="G287" i="6"/>
  <c r="G463" i="6"/>
  <c r="G263" i="6"/>
  <c r="G442" i="6"/>
  <c r="G845" i="6"/>
  <c r="G203" i="6"/>
  <c r="G530" i="6"/>
  <c r="G703" i="6"/>
  <c r="G791" i="6"/>
  <c r="G875" i="6"/>
  <c r="G959" i="6"/>
  <c r="G906" i="6"/>
  <c r="G690" i="6"/>
  <c r="G958" i="6"/>
  <c r="G830" i="6"/>
  <c r="G726" i="6"/>
  <c r="G636" i="6"/>
  <c r="G518" i="6"/>
  <c r="G396" i="6"/>
  <c r="G179" i="6"/>
  <c r="G964" i="6"/>
  <c r="G884" i="6"/>
  <c r="G796" i="6"/>
  <c r="G708" i="6"/>
  <c r="G622" i="6"/>
  <c r="G505" i="6"/>
  <c r="G360" i="6"/>
  <c r="G152" i="6"/>
  <c r="G898" i="6"/>
  <c r="G674" i="6"/>
  <c r="G481" i="6"/>
  <c r="G318" i="6"/>
  <c r="G83" i="6"/>
  <c r="G944" i="6"/>
  <c r="G856" i="6"/>
  <c r="G768" i="6"/>
  <c r="G688" i="6"/>
  <c r="G585" i="6"/>
  <c r="G468" i="6"/>
  <c r="G312" i="6"/>
  <c r="G78" i="6"/>
  <c r="G93" i="6"/>
  <c r="G507" i="6"/>
  <c r="G613" i="6"/>
  <c r="G877" i="6"/>
  <c r="G256" i="6"/>
  <c r="G562" i="6"/>
  <c r="G711" i="6"/>
  <c r="G795" i="6"/>
  <c r="G879" i="6"/>
  <c r="G967" i="6"/>
  <c r="G890" i="6"/>
  <c r="G682" i="6"/>
  <c r="G950" i="6"/>
  <c r="G822" i="6"/>
  <c r="G710" i="6"/>
  <c r="G625" i="6"/>
  <c r="G508" i="6"/>
  <c r="G364" i="6"/>
  <c r="G158" i="6"/>
  <c r="G956" i="6"/>
  <c r="G868" i="6"/>
  <c r="G788" i="6"/>
  <c r="G700" i="6"/>
  <c r="G601" i="6"/>
  <c r="G494" i="6"/>
  <c r="G344" i="6"/>
  <c r="G110" i="6"/>
  <c r="G882" i="6"/>
  <c r="G658" i="6"/>
  <c r="G460" i="6"/>
  <c r="G296" i="6"/>
  <c r="G58" i="6"/>
  <c r="G928" i="6"/>
  <c r="G848" i="6"/>
  <c r="G760" i="6"/>
  <c r="G672" i="6"/>
  <c r="G574" i="6"/>
  <c r="G457" i="6"/>
  <c r="G270" i="6"/>
  <c r="G50" i="6"/>
  <c r="G12" i="6"/>
  <c r="G102" i="6"/>
  <c r="G717" i="6"/>
  <c r="G973" i="6"/>
  <c r="G406" i="6"/>
  <c r="G647" i="6"/>
  <c r="G747" i="6"/>
  <c r="G831" i="6"/>
  <c r="G919" i="6"/>
  <c r="G999" i="6"/>
  <c r="G802" i="6"/>
  <c r="G556" i="6"/>
  <c r="G894" i="6"/>
  <c r="G766" i="6"/>
  <c r="G678" i="6"/>
  <c r="G582" i="6"/>
  <c r="G465" i="6"/>
  <c r="G286" i="6"/>
  <c r="G72" i="6"/>
  <c r="G924" i="6"/>
  <c r="G836" i="6"/>
  <c r="G756" i="6"/>
  <c r="G668" i="6"/>
  <c r="G558" i="6"/>
  <c r="G452" i="6"/>
  <c r="G259" i="6"/>
  <c r="G994" i="6"/>
  <c r="G794" i="6"/>
  <c r="G566" i="6"/>
  <c r="G404" i="6"/>
  <c r="G211" i="6"/>
  <c r="G984" i="6"/>
  <c r="G896" i="6"/>
  <c r="G816" i="6"/>
  <c r="G728" i="6"/>
  <c r="G638" i="6"/>
  <c r="G532" i="6"/>
  <c r="G400" i="6"/>
  <c r="G184" i="6"/>
  <c r="G365" i="6"/>
  <c r="G378" i="6"/>
  <c r="G749" i="6"/>
  <c r="G14" i="6"/>
  <c r="G445" i="6"/>
  <c r="G667" i="6"/>
  <c r="G751" i="6"/>
  <c r="G839" i="6"/>
  <c r="G923" i="6"/>
  <c r="G18" i="6"/>
  <c r="G786" i="6"/>
  <c r="G534" i="6"/>
  <c r="G886" i="6"/>
  <c r="G758" i="6"/>
  <c r="G670" i="6"/>
  <c r="G561" i="6"/>
  <c r="G454" i="6"/>
  <c r="G264" i="6"/>
  <c r="G996" i="6"/>
  <c r="G916" i="6"/>
  <c r="G828" i="6"/>
  <c r="G740" i="6"/>
  <c r="G660" i="6"/>
  <c r="G548" i="6"/>
  <c r="G424" i="6"/>
  <c r="G238" i="6"/>
  <c r="G978" i="6"/>
  <c r="G762" i="6"/>
  <c r="G545" i="6"/>
  <c r="G388" i="6"/>
  <c r="G168" i="6"/>
  <c r="G976" i="6"/>
  <c r="G888" i="6"/>
  <c r="G800" i="6"/>
  <c r="G720" i="6"/>
  <c r="G628" i="6"/>
  <c r="G510" i="6"/>
  <c r="G384" i="6"/>
  <c r="G163" i="6"/>
  <c r="E30" i="25"/>
  <c r="D6" i="8"/>
  <c r="D7" i="8" s="1"/>
  <c r="D8" i="8" l="1"/>
  <c r="D54" i="8" s="1"/>
  <c r="D797" i="8" l="1"/>
  <c r="D786" i="8"/>
  <c r="D757" i="8"/>
  <c r="D754" i="8"/>
  <c r="D666" i="8"/>
  <c r="D861" i="8"/>
  <c r="D489" i="8"/>
  <c r="D822" i="8"/>
  <c r="D811" i="8"/>
  <c r="D555" i="8"/>
  <c r="D832" i="8"/>
  <c r="D409" i="8"/>
  <c r="D187" i="8"/>
  <c r="D987" i="8"/>
  <c r="D875" i="8"/>
  <c r="D701" i="8"/>
  <c r="D1016" i="8"/>
  <c r="D904" i="8"/>
  <c r="D706" i="8"/>
  <c r="D967" i="8"/>
  <c r="D903" i="8"/>
  <c r="D837" i="8"/>
  <c r="D709" i="8"/>
  <c r="D939" i="8"/>
  <c r="D1008" i="8"/>
  <c r="D626" i="8"/>
  <c r="D980" i="8"/>
  <c r="D852" i="8"/>
  <c r="D602" i="8"/>
  <c r="D474" i="8"/>
  <c r="D973" i="8"/>
  <c r="D909" i="8"/>
  <c r="D841" i="8"/>
  <c r="D713" i="8"/>
  <c r="D585" i="8"/>
  <c r="D429" i="8"/>
  <c r="D297" i="8"/>
  <c r="D978" i="8"/>
  <c r="D898" i="8"/>
  <c r="D782" i="8"/>
  <c r="D614" i="8"/>
  <c r="D386" i="8"/>
  <c r="D791" i="8"/>
  <c r="D707" i="8"/>
  <c r="D619" i="8"/>
  <c r="D535" i="8"/>
  <c r="D410" i="8"/>
  <c r="D808" i="8"/>
  <c r="D724" i="8"/>
  <c r="D640" i="8"/>
  <c r="D201" i="8"/>
  <c r="D344" i="8"/>
  <c r="D290" i="8"/>
  <c r="D174" i="8"/>
  <c r="D188" i="8"/>
  <c r="D105" i="8"/>
  <c r="D915" i="8"/>
  <c r="D952" i="8"/>
  <c r="D927" i="8"/>
  <c r="D1003" i="8"/>
  <c r="D884" i="8"/>
  <c r="D989" i="8"/>
  <c r="D617" i="8"/>
  <c r="D994" i="8"/>
  <c r="D486" i="8"/>
  <c r="D643" i="8"/>
  <c r="D744" i="8"/>
  <c r="D411" i="8"/>
  <c r="D247" i="8"/>
  <c r="D971" i="8"/>
  <c r="D867" i="8"/>
  <c r="D685" i="8"/>
  <c r="D1000" i="8"/>
  <c r="D888" i="8"/>
  <c r="D674" i="8"/>
  <c r="D959" i="8"/>
  <c r="D895" i="8"/>
  <c r="D821" i="8"/>
  <c r="D645" i="8"/>
  <c r="D859" i="8"/>
  <c r="D928" i="8"/>
  <c r="D1023" i="8"/>
  <c r="D948" i="8"/>
  <c r="D794" i="8"/>
  <c r="D501" i="8"/>
  <c r="D1021" i="8"/>
  <c r="D957" i="8"/>
  <c r="D893" i="8"/>
  <c r="D809" i="8"/>
  <c r="D681" i="8"/>
  <c r="D553" i="8"/>
  <c r="D249" i="8"/>
  <c r="D25" i="8"/>
  <c r="D962" i="8"/>
  <c r="D878" i="8"/>
  <c r="D742" i="8"/>
  <c r="D566" i="8"/>
  <c r="D305" i="8"/>
  <c r="D771" i="8"/>
  <c r="D683" i="8"/>
  <c r="D599" i="8"/>
  <c r="D515" i="8"/>
  <c r="D281" i="8"/>
  <c r="D788" i="8"/>
  <c r="D704" i="8"/>
  <c r="D576" i="8"/>
  <c r="D348" i="8"/>
  <c r="D213" i="8"/>
  <c r="D116" i="8"/>
  <c r="D320" i="8"/>
  <c r="D107" i="8"/>
  <c r="D41" i="8"/>
  <c r="D573" i="8"/>
  <c r="D517" i="8"/>
  <c r="D863" i="8"/>
  <c r="D541" i="8"/>
  <c r="D1012" i="8"/>
  <c r="D530" i="8"/>
  <c r="D925" i="8"/>
  <c r="D745" i="8"/>
  <c r="D482" i="8"/>
  <c r="D922" i="8"/>
  <c r="D654" i="8"/>
  <c r="D727" i="8"/>
  <c r="D449" i="8"/>
  <c r="D660" i="8"/>
  <c r="D380" i="8"/>
  <c r="D88" i="8"/>
  <c r="D931" i="8"/>
  <c r="D829" i="8"/>
  <c r="D589" i="8"/>
  <c r="D968" i="8"/>
  <c r="D818" i="8"/>
  <c r="D581" i="8"/>
  <c r="D935" i="8"/>
  <c r="D871" i="8"/>
  <c r="D773" i="8"/>
  <c r="D557" i="8"/>
  <c r="D717" i="8"/>
  <c r="D872" i="8"/>
  <c r="D991" i="8"/>
  <c r="D916" i="8"/>
  <c r="D730" i="8"/>
  <c r="D111" i="8"/>
  <c r="D1005" i="8"/>
  <c r="D941" i="8"/>
  <c r="D877" i="8"/>
  <c r="D777" i="8"/>
  <c r="D649" i="8"/>
  <c r="D521" i="8"/>
  <c r="D554" i="8"/>
  <c r="D1010" i="8"/>
  <c r="D942" i="8"/>
  <c r="D858" i="8"/>
  <c r="D694" i="8"/>
  <c r="D526" i="8"/>
  <c r="D835" i="8"/>
  <c r="D747" i="8"/>
  <c r="D663" i="8"/>
  <c r="D579" i="8"/>
  <c r="D491" i="8"/>
  <c r="D178" i="8"/>
  <c r="D768" i="8"/>
  <c r="D680" i="8"/>
  <c r="D512" i="8"/>
  <c r="D36" i="8"/>
  <c r="D444" i="8"/>
  <c r="D311" i="8"/>
  <c r="D256" i="8"/>
  <c r="D173" i="8"/>
  <c r="D86" i="8"/>
  <c r="D693" i="8"/>
  <c r="D629" i="8"/>
  <c r="D525" i="8"/>
  <c r="D995" i="8"/>
  <c r="D923" i="8"/>
  <c r="D813" i="8"/>
  <c r="D669" i="8"/>
  <c r="D477" i="8"/>
  <c r="D984" i="8"/>
  <c r="D912" i="8"/>
  <c r="D856" i="8"/>
  <c r="D722" i="8"/>
  <c r="D610" i="8"/>
  <c r="D1015" i="8"/>
  <c r="D983" i="8"/>
  <c r="D1004" i="8"/>
  <c r="D972" i="8"/>
  <c r="D940" i="8"/>
  <c r="D908" i="8"/>
  <c r="D876" i="8"/>
  <c r="D842" i="8"/>
  <c r="D778" i="8"/>
  <c r="D714" i="8"/>
  <c r="D650" i="8"/>
  <c r="D586" i="8"/>
  <c r="D461" i="8"/>
  <c r="D578" i="8"/>
  <c r="D514" i="8"/>
  <c r="D418" i="8"/>
  <c r="D1017" i="8"/>
  <c r="D1001" i="8"/>
  <c r="D985" i="8"/>
  <c r="D969" i="8"/>
  <c r="D953" i="8"/>
  <c r="D937" i="8"/>
  <c r="D921" i="8"/>
  <c r="D905" i="8"/>
  <c r="D889" i="8"/>
  <c r="D873" i="8"/>
  <c r="D857" i="8"/>
  <c r="D833" i="8"/>
  <c r="D801" i="8"/>
  <c r="D769" i="8"/>
  <c r="D737" i="8"/>
  <c r="D705" i="8"/>
  <c r="D673" i="8"/>
  <c r="D641" i="8"/>
  <c r="D609" i="8"/>
  <c r="D577" i="8"/>
  <c r="D545" i="8"/>
  <c r="D513" i="8"/>
  <c r="D481" i="8"/>
  <c r="D401" i="8"/>
  <c r="D222" i="8"/>
  <c r="D538" i="8"/>
  <c r="D453" i="8"/>
  <c r="D270" i="8"/>
  <c r="D1022" i="8"/>
  <c r="D1006" i="8"/>
  <c r="D990" i="8"/>
  <c r="D974" i="8"/>
  <c r="D958" i="8"/>
  <c r="D938" i="8"/>
  <c r="D914" i="8"/>
  <c r="D894" i="8"/>
  <c r="D874" i="8"/>
  <c r="D850" i="8"/>
  <c r="D814" i="8"/>
  <c r="D774" i="8"/>
  <c r="D726" i="8"/>
  <c r="D686" i="8"/>
  <c r="D646" i="8"/>
  <c r="D598" i="8"/>
  <c r="D558" i="8"/>
  <c r="D518" i="8"/>
  <c r="D457" i="8"/>
  <c r="D364" i="8"/>
  <c r="D233" i="8"/>
  <c r="D827" i="8"/>
  <c r="D807" i="8"/>
  <c r="D787" i="8"/>
  <c r="D763" i="8"/>
  <c r="D743" i="8"/>
  <c r="D723" i="8"/>
  <c r="D699" i="8"/>
  <c r="D679" i="8"/>
  <c r="D659" i="8"/>
  <c r="D635" i="8"/>
  <c r="D615" i="8"/>
  <c r="D595" i="8"/>
  <c r="D571" i="8"/>
  <c r="D551" i="8"/>
  <c r="D531" i="8"/>
  <c r="D507" i="8"/>
  <c r="D487" i="8"/>
  <c r="D445" i="8"/>
  <c r="D381" i="8"/>
  <c r="D254" i="8"/>
  <c r="D47" i="8"/>
  <c r="D824" i="8"/>
  <c r="D804" i="8"/>
  <c r="D784" i="8"/>
  <c r="D760" i="8"/>
  <c r="D740" i="8"/>
  <c r="D720" i="8"/>
  <c r="D696" i="8"/>
  <c r="D676" i="8"/>
  <c r="D656" i="8"/>
  <c r="D624" i="8"/>
  <c r="D560" i="8"/>
  <c r="D496" i="8"/>
  <c r="D373" i="8"/>
  <c r="D454" i="8"/>
  <c r="D294" i="8"/>
  <c r="D459" i="8"/>
  <c r="D395" i="8"/>
  <c r="D309" i="8"/>
  <c r="D154" i="8"/>
  <c r="D428" i="8"/>
  <c r="D365" i="8"/>
  <c r="D258" i="8"/>
  <c r="D359" i="8"/>
  <c r="D295" i="8"/>
  <c r="D231" i="8"/>
  <c r="D142" i="8"/>
  <c r="D304" i="8"/>
  <c r="D240" i="8"/>
  <c r="D155" i="8"/>
  <c r="D172" i="8"/>
  <c r="D75" i="8"/>
  <c r="D157" i="8"/>
  <c r="D56" i="8"/>
  <c r="D89" i="8"/>
  <c r="D134" i="8"/>
  <c r="D70" i="8"/>
  <c r="D765" i="8"/>
  <c r="D770" i="8"/>
  <c r="D855" i="8"/>
  <c r="D979" i="8"/>
  <c r="D960" i="8"/>
  <c r="D1007" i="8"/>
  <c r="D932" i="8"/>
  <c r="D762" i="8"/>
  <c r="D634" i="8"/>
  <c r="D565" i="8"/>
  <c r="D562" i="8"/>
  <c r="D506" i="8"/>
  <c r="D389" i="8"/>
  <c r="D1013" i="8"/>
  <c r="D997" i="8"/>
  <c r="D981" i="8"/>
  <c r="D965" i="8"/>
  <c r="D949" i="8"/>
  <c r="D933" i="8"/>
  <c r="D917" i="8"/>
  <c r="D901" i="8"/>
  <c r="D885" i="8"/>
  <c r="D869" i="8"/>
  <c r="D853" i="8"/>
  <c r="D825" i="8"/>
  <c r="D793" i="8"/>
  <c r="D761" i="8"/>
  <c r="D729" i="8"/>
  <c r="D697" i="8"/>
  <c r="D665" i="8"/>
  <c r="D633" i="8"/>
  <c r="D601" i="8"/>
  <c r="D569" i="8"/>
  <c r="D537" i="8"/>
  <c r="D505" i="8"/>
  <c r="D465" i="8"/>
  <c r="D394" i="8"/>
  <c r="D146" i="8"/>
  <c r="D522" i="8"/>
  <c r="D425" i="8"/>
  <c r="D241" i="8"/>
  <c r="D1018" i="8"/>
  <c r="D1002" i="8"/>
  <c r="D986" i="8"/>
  <c r="D970" i="8"/>
  <c r="D954" i="8"/>
  <c r="D930" i="8"/>
  <c r="D910" i="8"/>
  <c r="D890" i="8"/>
  <c r="D866" i="8"/>
  <c r="D846" i="8"/>
  <c r="D806" i="8"/>
  <c r="D758" i="8"/>
  <c r="D718" i="8"/>
  <c r="D678" i="8"/>
  <c r="D630" i="8"/>
  <c r="D590" i="8"/>
  <c r="D550" i="8"/>
  <c r="D502" i="8"/>
  <c r="D450" i="8"/>
  <c r="D354" i="8"/>
  <c r="D843" i="8"/>
  <c r="D823" i="8"/>
  <c r="D803" i="8"/>
  <c r="D779" i="8"/>
  <c r="D759" i="8"/>
  <c r="D739" i="8"/>
  <c r="D715" i="8"/>
  <c r="D695" i="8"/>
  <c r="D675" i="8"/>
  <c r="D651" i="8"/>
  <c r="D631" i="8"/>
  <c r="D611" i="8"/>
  <c r="D587" i="8"/>
  <c r="D567" i="8"/>
  <c r="D547" i="8"/>
  <c r="D523" i="8"/>
  <c r="D503" i="8"/>
  <c r="D483" i="8"/>
  <c r="D417" i="8"/>
  <c r="D378" i="8"/>
  <c r="D225" i="8"/>
  <c r="D840" i="8"/>
  <c r="D820" i="8"/>
  <c r="D800" i="8"/>
  <c r="D776" i="8"/>
  <c r="D756" i="8"/>
  <c r="D736" i="8"/>
  <c r="D712" i="8"/>
  <c r="D692" i="8"/>
  <c r="D672" i="8"/>
  <c r="D648" i="8"/>
  <c r="D608" i="8"/>
  <c r="D544" i="8"/>
  <c r="D480" i="8"/>
  <c r="D352" i="8"/>
  <c r="D422" i="8"/>
  <c r="D230" i="8"/>
  <c r="D443" i="8"/>
  <c r="D379" i="8"/>
  <c r="D277" i="8"/>
  <c r="D31" i="8"/>
  <c r="D412" i="8"/>
  <c r="D342" i="8"/>
  <c r="D226" i="8"/>
  <c r="D343" i="8"/>
  <c r="D279" i="8"/>
  <c r="D215" i="8"/>
  <c r="D87" i="8"/>
  <c r="D288" i="8"/>
  <c r="D224" i="8"/>
  <c r="D108" i="8"/>
  <c r="D156" i="8"/>
  <c r="D43" i="8"/>
  <c r="D141" i="8"/>
  <c r="D137" i="8"/>
  <c r="D73" i="8"/>
  <c r="D118" i="8"/>
  <c r="D26" i="8"/>
  <c r="D42" i="8"/>
  <c r="D58" i="8"/>
  <c r="D74" i="8"/>
  <c r="D90" i="8"/>
  <c r="D106" i="8"/>
  <c r="D122" i="8"/>
  <c r="D29" i="8"/>
  <c r="D45" i="8"/>
  <c r="D61" i="8"/>
  <c r="D77" i="8"/>
  <c r="D93" i="8"/>
  <c r="D109" i="8"/>
  <c r="D125" i="8"/>
  <c r="D32" i="8"/>
  <c r="D64" i="8"/>
  <c r="D96" i="8"/>
  <c r="D128" i="8"/>
  <c r="D145" i="8"/>
  <c r="D161" i="8"/>
  <c r="D177" i="8"/>
  <c r="D193" i="8"/>
  <c r="D51" i="8"/>
  <c r="D83" i="8"/>
  <c r="D115" i="8"/>
  <c r="D144" i="8"/>
  <c r="D160" i="8"/>
  <c r="D176" i="8"/>
  <c r="D192" i="8"/>
  <c r="D60" i="8"/>
  <c r="D124" i="8"/>
  <c r="D163" i="8"/>
  <c r="D195" i="8"/>
  <c r="D212" i="8"/>
  <c r="D228" i="8"/>
  <c r="D244" i="8"/>
  <c r="D260" i="8"/>
  <c r="D276" i="8"/>
  <c r="D292" i="8"/>
  <c r="D308" i="8"/>
  <c r="D324" i="8"/>
  <c r="D39" i="8"/>
  <c r="D103" i="8"/>
  <c r="D150" i="8"/>
  <c r="D182" i="8"/>
  <c r="D203" i="8"/>
  <c r="D219" i="8"/>
  <c r="D235" i="8"/>
  <c r="D251" i="8"/>
  <c r="D267" i="8"/>
  <c r="D283" i="8"/>
  <c r="D299" i="8"/>
  <c r="D315" i="8"/>
  <c r="D331" i="8"/>
  <c r="D347" i="8"/>
  <c r="D363" i="8"/>
  <c r="D143" i="8"/>
  <c r="D202" i="8"/>
  <c r="D234" i="8"/>
  <c r="D266" i="8"/>
  <c r="D298" i="8"/>
  <c r="D330" i="8"/>
  <c r="D349" i="8"/>
  <c r="D368" i="8"/>
  <c r="D384" i="8"/>
  <c r="D400" i="8"/>
  <c r="D416" i="8"/>
  <c r="D432" i="8"/>
  <c r="D448" i="8"/>
  <c r="D464" i="8"/>
  <c r="D63" i="8"/>
  <c r="D170" i="8"/>
  <c r="D221" i="8"/>
  <c r="D253" i="8"/>
  <c r="D285" i="8"/>
  <c r="D317" i="8"/>
  <c r="D346" i="8"/>
  <c r="D367" i="8"/>
  <c r="D383" i="8"/>
  <c r="D399" i="8"/>
  <c r="D415" i="8"/>
  <c r="D431" i="8"/>
  <c r="D447" i="8"/>
  <c r="D463" i="8"/>
  <c r="D100" i="8"/>
  <c r="D132" i="8"/>
  <c r="D246" i="8"/>
  <c r="D310" i="8"/>
  <c r="D366" i="8"/>
  <c r="D398" i="8"/>
  <c r="D430" i="8"/>
  <c r="D462" i="8"/>
  <c r="D209" i="8"/>
  <c r="D302" i="8"/>
  <c r="D357" i="8"/>
  <c r="D377" i="8"/>
  <c r="D434" i="8"/>
  <c r="D469" i="8"/>
  <c r="D484" i="8"/>
  <c r="D500" i="8"/>
  <c r="D516" i="8"/>
  <c r="D532" i="8"/>
  <c r="D548" i="8"/>
  <c r="D564" i="8"/>
  <c r="D580" i="8"/>
  <c r="D596" i="8"/>
  <c r="D612" i="8"/>
  <c r="D628" i="8"/>
  <c r="D30" i="8"/>
  <c r="D46" i="8"/>
  <c r="D62" i="8"/>
  <c r="D78" i="8"/>
  <c r="D94" i="8"/>
  <c r="D110" i="8"/>
  <c r="D126" i="8"/>
  <c r="D33" i="8"/>
  <c r="D49" i="8"/>
  <c r="D65" i="8"/>
  <c r="D81" i="8"/>
  <c r="D97" i="8"/>
  <c r="D113" i="8"/>
  <c r="D129" i="8"/>
  <c r="D40" i="8"/>
  <c r="D72" i="8"/>
  <c r="D104" i="8"/>
  <c r="D136" i="8"/>
  <c r="D149" i="8"/>
  <c r="D165" i="8"/>
  <c r="D181" i="8"/>
  <c r="D27" i="8"/>
  <c r="D59" i="8"/>
  <c r="D91" i="8"/>
  <c r="D123" i="8"/>
  <c r="D148" i="8"/>
  <c r="D164" i="8"/>
  <c r="D180" i="8"/>
  <c r="D196" i="8"/>
  <c r="D76" i="8"/>
  <c r="D139" i="8"/>
  <c r="D171" i="8"/>
  <c r="D200" i="8"/>
  <c r="D216" i="8"/>
  <c r="D232" i="8"/>
  <c r="D248" i="8"/>
  <c r="D264" i="8"/>
  <c r="D280" i="8"/>
  <c r="D296" i="8"/>
  <c r="D312" i="8"/>
  <c r="D328" i="8"/>
  <c r="D55" i="8"/>
  <c r="D119" i="8"/>
  <c r="D158" i="8"/>
  <c r="D190" i="8"/>
  <c r="D207" i="8"/>
  <c r="D223" i="8"/>
  <c r="D239" i="8"/>
  <c r="D255" i="8"/>
  <c r="D271" i="8"/>
  <c r="D287" i="8"/>
  <c r="D303" i="8"/>
  <c r="D319" i="8"/>
  <c r="D335" i="8"/>
  <c r="D351" i="8"/>
  <c r="D52" i="8"/>
  <c r="D159" i="8"/>
  <c r="D210" i="8"/>
  <c r="D242" i="8"/>
  <c r="D274" i="8"/>
  <c r="D306" i="8"/>
  <c r="D338" i="8"/>
  <c r="D356" i="8"/>
  <c r="D372" i="8"/>
  <c r="D388" i="8"/>
  <c r="D404" i="8"/>
  <c r="D420" i="8"/>
  <c r="D436" i="8"/>
  <c r="D452" i="8"/>
  <c r="D468" i="8"/>
  <c r="D95" i="8"/>
  <c r="D186" i="8"/>
  <c r="D229" i="8"/>
  <c r="D261" i="8"/>
  <c r="D293" i="8"/>
  <c r="D325" i="8"/>
  <c r="D353" i="8"/>
  <c r="D371" i="8"/>
  <c r="D387" i="8"/>
  <c r="D403" i="8"/>
  <c r="D419" i="8"/>
  <c r="D435" i="8"/>
  <c r="D451" i="8"/>
  <c r="D467" i="8"/>
  <c r="D151" i="8"/>
  <c r="D167" i="8"/>
  <c r="D262" i="8"/>
  <c r="D326" i="8"/>
  <c r="D374" i="8"/>
  <c r="D406" i="8"/>
  <c r="D438" i="8"/>
  <c r="D470" i="8"/>
  <c r="D238" i="8"/>
  <c r="D329" i="8"/>
  <c r="D361" i="8"/>
  <c r="D402" i="8"/>
  <c r="D437" i="8"/>
  <c r="D473" i="8"/>
  <c r="D488" i="8"/>
  <c r="D504" i="8"/>
  <c r="D520" i="8"/>
  <c r="D536" i="8"/>
  <c r="D552" i="8"/>
  <c r="D568" i="8"/>
  <c r="D584" i="8"/>
  <c r="D600" i="8"/>
  <c r="D616" i="8"/>
  <c r="D632" i="8"/>
  <c r="D34" i="8"/>
  <c r="D50" i="8"/>
  <c r="D66" i="8"/>
  <c r="D82" i="8"/>
  <c r="D98" i="8"/>
  <c r="D114" i="8"/>
  <c r="D130" i="8"/>
  <c r="D37" i="8"/>
  <c r="D53" i="8"/>
  <c r="D69" i="8"/>
  <c r="D85" i="8"/>
  <c r="D101" i="8"/>
  <c r="D117" i="8"/>
  <c r="D133" i="8"/>
  <c r="D48" i="8"/>
  <c r="D80" i="8"/>
  <c r="D112" i="8"/>
  <c r="D138" i="8"/>
  <c r="D153" i="8"/>
  <c r="D169" i="8"/>
  <c r="D185" i="8"/>
  <c r="D35" i="8"/>
  <c r="D67" i="8"/>
  <c r="D99" i="8"/>
  <c r="D131" i="8"/>
  <c r="D152" i="8"/>
  <c r="D168" i="8"/>
  <c r="D184" i="8"/>
  <c r="D28" i="8"/>
  <c r="D92" i="8"/>
  <c r="D147" i="8"/>
  <c r="D179" i="8"/>
  <c r="D204" i="8"/>
  <c r="D220" i="8"/>
  <c r="D236" i="8"/>
  <c r="D252" i="8"/>
  <c r="D268" i="8"/>
  <c r="D284" i="8"/>
  <c r="D300" i="8"/>
  <c r="D316" i="8"/>
  <c r="D332" i="8"/>
  <c r="D71" i="8"/>
  <c r="D135" i="8"/>
  <c r="D166" i="8"/>
  <c r="D197" i="8"/>
  <c r="D211" i="8"/>
  <c r="D227" i="8"/>
  <c r="D243" i="8"/>
  <c r="D259" i="8"/>
  <c r="D275" i="8"/>
  <c r="D291" i="8"/>
  <c r="D307" i="8"/>
  <c r="D323" i="8"/>
  <c r="D339" i="8"/>
  <c r="D355" i="8"/>
  <c r="D84" i="8"/>
  <c r="D175" i="8"/>
  <c r="D218" i="8"/>
  <c r="D250" i="8"/>
  <c r="D282" i="8"/>
  <c r="D314" i="8"/>
  <c r="D340" i="8"/>
  <c r="D358" i="8"/>
  <c r="D376" i="8"/>
  <c r="D392" i="8"/>
  <c r="D408" i="8"/>
  <c r="D424" i="8"/>
  <c r="D440" i="8"/>
  <c r="D456" i="8"/>
  <c r="D472" i="8"/>
  <c r="D127" i="8"/>
  <c r="D205" i="8"/>
  <c r="D237" i="8"/>
  <c r="D269" i="8"/>
  <c r="D301" i="8"/>
  <c r="D333" i="8"/>
  <c r="D360" i="8"/>
  <c r="D375" i="8"/>
  <c r="D391" i="8"/>
  <c r="D407" i="8"/>
  <c r="D423" i="8"/>
  <c r="D439" i="8"/>
  <c r="D455" i="8"/>
  <c r="D471" i="8"/>
  <c r="D183" i="8"/>
  <c r="D214" i="8"/>
  <c r="D278" i="8"/>
  <c r="D341" i="8"/>
  <c r="D382" i="8"/>
  <c r="D414" i="8"/>
  <c r="D446" i="8"/>
  <c r="D79" i="8"/>
  <c r="D265" i="8"/>
  <c r="D337" i="8"/>
  <c r="D370" i="8"/>
  <c r="D405" i="8"/>
  <c r="D441" i="8"/>
  <c r="D476" i="8"/>
  <c r="D492" i="8"/>
  <c r="D508" i="8"/>
  <c r="D524" i="8"/>
  <c r="D540" i="8"/>
  <c r="D556" i="8"/>
  <c r="D572" i="8"/>
  <c r="D588" i="8"/>
  <c r="D604" i="8"/>
  <c r="D620" i="8"/>
  <c r="D636" i="8"/>
  <c r="D652" i="8"/>
  <c r="D668" i="8"/>
  <c r="D684" i="8"/>
  <c r="D700" i="8"/>
  <c r="D716" i="8"/>
  <c r="D732" i="8"/>
  <c r="D748" i="8"/>
  <c r="D764" i="8"/>
  <c r="D780" i="8"/>
  <c r="D796" i="8"/>
  <c r="D812" i="8"/>
  <c r="D828" i="8"/>
  <c r="D844" i="8"/>
  <c r="D217" i="8"/>
  <c r="D289" i="8"/>
  <c r="D385" i="8"/>
  <c r="D442" i="8"/>
  <c r="D479" i="8"/>
  <c r="D495" i="8"/>
  <c r="D511" i="8"/>
  <c r="D527" i="8"/>
  <c r="D543" i="8"/>
  <c r="D559" i="8"/>
  <c r="D575" i="8"/>
  <c r="D591" i="8"/>
  <c r="D607" i="8"/>
  <c r="D623" i="8"/>
  <c r="D639" i="8"/>
  <c r="D655" i="8"/>
  <c r="D671" i="8"/>
  <c r="D687" i="8"/>
  <c r="D703" i="8"/>
  <c r="D719" i="8"/>
  <c r="D735" i="8"/>
  <c r="D751" i="8"/>
  <c r="D767" i="8"/>
  <c r="D783" i="8"/>
  <c r="D799" i="8"/>
  <c r="D815" i="8"/>
  <c r="D831" i="8"/>
  <c r="D206" i="8"/>
  <c r="D345" i="8"/>
  <c r="D393" i="8"/>
  <c r="D478" i="8"/>
  <c r="D510" i="8"/>
  <c r="D542" i="8"/>
  <c r="D574" i="8"/>
  <c r="D606" i="8"/>
  <c r="D638" i="8"/>
  <c r="D670" i="8"/>
  <c r="D702" i="8"/>
  <c r="D734" i="8"/>
  <c r="D766" i="8"/>
  <c r="D798" i="8"/>
  <c r="D830" i="8"/>
  <c r="D854" i="8"/>
  <c r="D870" i="8"/>
  <c r="D886" i="8"/>
  <c r="D902" i="8"/>
  <c r="D918" i="8"/>
  <c r="D934" i="8"/>
  <c r="D950" i="8"/>
  <c r="D955" i="8"/>
  <c r="D907" i="8"/>
  <c r="D851" i="8"/>
  <c r="D653" i="8"/>
  <c r="D509" i="8"/>
  <c r="D992" i="8"/>
  <c r="D936" i="8"/>
  <c r="D864" i="8"/>
  <c r="D642" i="8"/>
  <c r="D485" i="8"/>
  <c r="D951" i="8"/>
  <c r="D919" i="8"/>
  <c r="D887" i="8"/>
  <c r="D805" i="8"/>
  <c r="D741" i="8"/>
  <c r="D677" i="8"/>
  <c r="D613" i="8"/>
  <c r="D493" i="8"/>
  <c r="D899" i="8"/>
  <c r="D781" i="8"/>
  <c r="D637" i="8"/>
  <c r="D426" i="8"/>
  <c r="D896" i="8"/>
  <c r="D834" i="8"/>
  <c r="D690" i="8"/>
  <c r="D549" i="8"/>
  <c r="D975" i="8"/>
  <c r="D996" i="8"/>
  <c r="D964" i="8"/>
  <c r="D900" i="8"/>
  <c r="D868" i="8"/>
  <c r="D826" i="8"/>
  <c r="D698" i="8"/>
  <c r="D433" i="8"/>
  <c r="D1011" i="8"/>
  <c r="D947" i="8"/>
  <c r="D891" i="8"/>
  <c r="D845" i="8"/>
  <c r="D733" i="8"/>
  <c r="D621" i="8"/>
  <c r="D397" i="8"/>
  <c r="D976" i="8"/>
  <c r="D920" i="8"/>
  <c r="D848" i="8"/>
  <c r="D738" i="8"/>
  <c r="D594" i="8"/>
  <c r="D257" i="8"/>
  <c r="D943" i="8"/>
  <c r="D911" i="8"/>
  <c r="D879" i="8"/>
  <c r="D847" i="8"/>
  <c r="D789" i="8"/>
  <c r="D725" i="8"/>
  <c r="D661" i="8"/>
  <c r="D597" i="8"/>
  <c r="D1019" i="8"/>
  <c r="D963" i="8"/>
  <c r="D883" i="8"/>
  <c r="D749" i="8"/>
  <c r="D605" i="8"/>
  <c r="D369" i="8"/>
  <c r="D944" i="8"/>
  <c r="D880" i="8"/>
  <c r="D802" i="8"/>
  <c r="D658" i="8"/>
  <c r="D313" i="8"/>
  <c r="D999" i="8"/>
  <c r="D1020" i="8"/>
  <c r="D988" i="8"/>
  <c r="D956" i="8"/>
  <c r="D924" i="8"/>
  <c r="D892" i="8"/>
  <c r="D860" i="8"/>
  <c r="D810" i="8"/>
  <c r="D746" i="8"/>
  <c r="D682" i="8"/>
  <c r="D618" i="8"/>
  <c r="D533" i="8"/>
  <c r="D286" i="8"/>
  <c r="D546" i="8"/>
  <c r="D490" i="8"/>
  <c r="D162" i="8"/>
  <c r="D1009" i="8"/>
  <c r="D993" i="8"/>
  <c r="D977" i="8"/>
  <c r="D961" i="8"/>
  <c r="D945" i="8"/>
  <c r="D929" i="8"/>
  <c r="D913" i="8"/>
  <c r="D897" i="8"/>
  <c r="D881" i="8"/>
  <c r="D865" i="8"/>
  <c r="D849" i="8"/>
  <c r="D817" i="8"/>
  <c r="D785" i="8"/>
  <c r="D753" i="8"/>
  <c r="D721" i="8"/>
  <c r="D689" i="8"/>
  <c r="D657" i="8"/>
  <c r="D625" i="8"/>
  <c r="D593" i="8"/>
  <c r="D561" i="8"/>
  <c r="D529" i="8"/>
  <c r="D497" i="8"/>
  <c r="D458" i="8"/>
  <c r="D321" i="8"/>
  <c r="D570" i="8"/>
  <c r="D498" i="8"/>
  <c r="D350" i="8"/>
  <c r="D198" i="8"/>
  <c r="D1014" i="8"/>
  <c r="D998" i="8"/>
  <c r="D982" i="8"/>
  <c r="D966" i="8"/>
  <c r="D946" i="8"/>
  <c r="D926" i="8"/>
  <c r="D906" i="8"/>
  <c r="D882" i="8"/>
  <c r="D862" i="8"/>
  <c r="D838" i="8"/>
  <c r="D790" i="8"/>
  <c r="D750" i="8"/>
  <c r="D710" i="8"/>
  <c r="D662" i="8"/>
  <c r="D622" i="8"/>
  <c r="D582" i="8"/>
  <c r="D534" i="8"/>
  <c r="D494" i="8"/>
  <c r="D421" i="8"/>
  <c r="D334" i="8"/>
  <c r="D839" i="8"/>
  <c r="D819" i="8"/>
  <c r="D795" i="8"/>
  <c r="D775" i="8"/>
  <c r="D755" i="8"/>
  <c r="D731" i="8"/>
  <c r="D711" i="8"/>
  <c r="D691" i="8"/>
  <c r="D667" i="8"/>
  <c r="D647" i="8"/>
  <c r="D627" i="8"/>
  <c r="D603" i="8"/>
  <c r="D583" i="8"/>
  <c r="D563" i="8"/>
  <c r="D539" i="8"/>
  <c r="D519" i="8"/>
  <c r="D499" i="8"/>
  <c r="D475" i="8"/>
  <c r="D413" i="8"/>
  <c r="D318" i="8"/>
  <c r="D194" i="8"/>
  <c r="D836" i="8"/>
  <c r="D816" i="8"/>
  <c r="D792" i="8"/>
  <c r="D772" i="8"/>
  <c r="D752" i="8"/>
  <c r="D728" i="8"/>
  <c r="D708" i="8"/>
  <c r="D688" i="8"/>
  <c r="D664" i="8"/>
  <c r="D644" i="8"/>
  <c r="D592" i="8"/>
  <c r="D528" i="8"/>
  <c r="D466" i="8"/>
  <c r="D273" i="8"/>
  <c r="D390" i="8"/>
  <c r="D68" i="8"/>
  <c r="D427" i="8"/>
  <c r="D362" i="8"/>
  <c r="D245" i="8"/>
  <c r="D460" i="8"/>
  <c r="D396" i="8"/>
  <c r="D322" i="8"/>
  <c r="D191" i="8"/>
  <c r="D327" i="8"/>
  <c r="D263" i="8"/>
  <c r="D199" i="8"/>
  <c r="D336" i="8"/>
  <c r="D272" i="8"/>
  <c r="D208" i="8"/>
  <c r="D44" i="8"/>
  <c r="D140" i="8"/>
  <c r="D189" i="8"/>
  <c r="D120" i="8"/>
  <c r="D121" i="8"/>
  <c r="D57" i="8"/>
  <c r="D102" i="8"/>
  <c r="D38" i="8"/>
  <c r="D9" i="8"/>
  <c r="D10" i="16"/>
  <c r="D11" i="16"/>
  <c r="D12" i="16"/>
  <c r="D13" i="16"/>
  <c r="D14" i="8" l="1"/>
  <c r="D12" i="8"/>
  <c r="D10" i="8"/>
  <c r="D16" i="8"/>
  <c r="D15" i="8"/>
  <c r="C5" i="20" l="1"/>
  <c r="E5" i="20" s="1"/>
  <c r="E7" i="25"/>
  <c r="F7" i="25" l="1"/>
  <c r="F16" i="25" s="1"/>
  <c r="F31" i="25" s="1"/>
  <c r="F36" i="25" s="1"/>
  <c r="F39" i="25" s="1"/>
  <c r="F44" i="25" s="1"/>
  <c r="E16" i="25"/>
  <c r="E31" i="25" s="1"/>
  <c r="E36" i="25" s="1"/>
  <c r="E39" i="25" s="1"/>
  <c r="E44" i="25" s="1"/>
  <c r="F5" i="20"/>
  <c r="F14" i="20" s="1"/>
  <c r="E14" i="20"/>
  <c r="E17" i="20" l="1"/>
  <c r="F17" i="20" s="1"/>
  <c r="E16" i="20"/>
  <c r="E19" i="20"/>
  <c r="F19" i="20" s="1"/>
  <c r="E18" i="20"/>
  <c r="F18" i="20" s="1"/>
  <c r="F16" i="20" l="1"/>
  <c r="D26" i="20"/>
  <c r="D27" i="20" s="1"/>
  <c r="E27" i="20" s="1"/>
  <c r="F27" i="20" s="1"/>
  <c r="F28" i="20" l="1"/>
  <c r="F29" i="20" s="1"/>
  <c r="F47" i="20" s="1"/>
  <c r="E28" i="20"/>
  <c r="I33" i="6"/>
  <c r="F34" i="20" l="1"/>
  <c r="E29" i="20"/>
  <c r="E34" i="20" s="1"/>
  <c r="E37" i="20" s="1"/>
  <c r="E42" i="20" s="1"/>
  <c r="I34" i="6"/>
  <c r="D2" i="6" l="1"/>
  <c r="F2" i="6" s="1"/>
  <c r="L6" i="6" s="1"/>
  <c r="F37" i="20"/>
  <c r="F42" i="20" s="1"/>
  <c r="I35" i="6"/>
  <c r="L4" i="6" l="1"/>
  <c r="L5" i="6"/>
  <c r="L2" i="6"/>
  <c r="L3" i="6"/>
  <c r="G2" i="6"/>
  <c r="M6" i="6" s="1"/>
  <c r="K2" i="6"/>
  <c r="K6" i="6"/>
  <c r="I36" i="6"/>
  <c r="M5" i="6" l="1"/>
  <c r="I186" i="6" s="1"/>
  <c r="J186" i="6" s="1"/>
  <c r="M2" i="6"/>
  <c r="M23" i="6" s="1"/>
  <c r="M4" i="6"/>
  <c r="I235" i="6" s="1"/>
  <c r="J235" i="6" s="1"/>
  <c r="M3" i="6"/>
  <c r="F46" i="25"/>
  <c r="I37" i="6"/>
  <c r="K4" i="6"/>
  <c r="K5" i="6"/>
  <c r="I78" i="6" s="1"/>
  <c r="J78" i="6" s="1"/>
  <c r="K3" i="6"/>
  <c r="M31" i="6" l="1"/>
  <c r="M27" i="6"/>
  <c r="M16" i="6"/>
  <c r="M13" i="6"/>
  <c r="M36" i="6"/>
  <c r="M35" i="6"/>
  <c r="M22" i="6"/>
  <c r="M28" i="6"/>
  <c r="M34" i="6"/>
  <c r="M33" i="6"/>
  <c r="M32" i="6"/>
  <c r="M25" i="6"/>
  <c r="M30" i="6"/>
  <c r="M37" i="6"/>
  <c r="M26" i="6"/>
  <c r="M17" i="6"/>
  <c r="M14" i="6"/>
  <c r="M7" i="6"/>
  <c r="M8" i="6" s="1"/>
  <c r="M20" i="6"/>
  <c r="M19" i="6"/>
  <c r="M29" i="6"/>
  <c r="M18" i="6"/>
  <c r="M24" i="6"/>
  <c r="M15" i="6"/>
  <c r="L186" i="6"/>
  <c r="M21" i="6"/>
  <c r="M12" i="6"/>
  <c r="L235" i="6"/>
  <c r="L12" i="6"/>
  <c r="I130" i="6"/>
  <c r="L130" i="6" s="1"/>
  <c r="F44" i="20"/>
  <c r="I179" i="6"/>
  <c r="J179" i="6" s="1"/>
  <c r="I127" i="6"/>
  <c r="J127" i="6" s="1"/>
  <c r="L7" i="6"/>
  <c r="E46" i="25" s="1"/>
  <c r="K7" i="6"/>
  <c r="I38" i="6"/>
  <c r="M38" i="6" s="1"/>
  <c r="L13" i="6"/>
  <c r="L17" i="6"/>
  <c r="L21" i="6"/>
  <c r="L25" i="6"/>
  <c r="L29" i="6"/>
  <c r="L33" i="6"/>
  <c r="L37" i="6"/>
  <c r="L14" i="6"/>
  <c r="L18" i="6"/>
  <c r="L22" i="6"/>
  <c r="L26" i="6"/>
  <c r="L30" i="6"/>
  <c r="L34" i="6"/>
  <c r="L15" i="6"/>
  <c r="L19" i="6"/>
  <c r="L23" i="6"/>
  <c r="L27" i="6"/>
  <c r="L31" i="6"/>
  <c r="L35" i="6"/>
  <c r="L16" i="6"/>
  <c r="L20" i="6"/>
  <c r="L24" i="6"/>
  <c r="L28" i="6"/>
  <c r="L32" i="6"/>
  <c r="L36" i="6"/>
  <c r="K32" i="6"/>
  <c r="K21" i="6"/>
  <c r="K16" i="6"/>
  <c r="K19" i="6"/>
  <c r="K34" i="6"/>
  <c r="K26" i="6"/>
  <c r="K22" i="6"/>
  <c r="K17" i="6"/>
  <c r="K15" i="6"/>
  <c r="K37" i="6"/>
  <c r="K18" i="6"/>
  <c r="K33" i="6"/>
  <c r="K12" i="6"/>
  <c r="K13" i="6"/>
  <c r="K29" i="6"/>
  <c r="K31" i="6"/>
  <c r="K36" i="6"/>
  <c r="K14" i="6"/>
  <c r="K28" i="6"/>
  <c r="K24" i="6"/>
  <c r="K25" i="6"/>
  <c r="K30" i="6"/>
  <c r="K20" i="6"/>
  <c r="K35" i="6"/>
  <c r="K27" i="6"/>
  <c r="K23" i="6"/>
  <c r="M9" i="6" l="1"/>
  <c r="M10" i="6" s="1"/>
  <c r="L179" i="6"/>
  <c r="J130" i="6"/>
  <c r="L8" i="6"/>
  <c r="E44" i="20"/>
  <c r="L127" i="6"/>
  <c r="I131" i="6"/>
  <c r="I79" i="6"/>
  <c r="J79" i="6" s="1"/>
  <c r="L9" i="6"/>
  <c r="K8" i="6"/>
  <c r="K9" i="6"/>
  <c r="L38" i="6"/>
  <c r="K38" i="6"/>
  <c r="I39" i="6"/>
  <c r="M39" i="6" s="1"/>
  <c r="K235" i="6" l="1"/>
  <c r="K186" i="6"/>
  <c r="J131" i="6"/>
  <c r="K179" i="6"/>
  <c r="K73" i="6"/>
  <c r="K63" i="6"/>
  <c r="K62" i="6"/>
  <c r="K74" i="6"/>
  <c r="C8" i="22" s="1"/>
  <c r="K68" i="6"/>
  <c r="K67" i="6"/>
  <c r="I132" i="6"/>
  <c r="I80" i="6"/>
  <c r="J80" i="6" s="1"/>
  <c r="K131" i="6"/>
  <c r="L10" i="6"/>
  <c r="L131" i="6" s="1"/>
  <c r="K130" i="6"/>
  <c r="K79" i="6"/>
  <c r="K127" i="6"/>
  <c r="L71" i="6"/>
  <c r="L70" i="6"/>
  <c r="L68" i="6"/>
  <c r="L69" i="6"/>
  <c r="L67" i="6"/>
  <c r="K78" i="6"/>
  <c r="K70" i="6"/>
  <c r="K69" i="6"/>
  <c r="K71" i="6"/>
  <c r="K61" i="6"/>
  <c r="K60" i="6"/>
  <c r="K10" i="6"/>
  <c r="I40" i="6"/>
  <c r="M40" i="6" s="1"/>
  <c r="K39" i="6"/>
  <c r="L39" i="6"/>
  <c r="J132" i="6" l="1"/>
  <c r="L132" i="6"/>
  <c r="K132" i="6"/>
  <c r="I133" i="6"/>
  <c r="I81" i="6"/>
  <c r="J81" i="6" s="1"/>
  <c r="K80" i="6"/>
  <c r="L79" i="6"/>
  <c r="L80" i="6"/>
  <c r="L78" i="6"/>
  <c r="I41" i="6"/>
  <c r="M41" i="6" s="1"/>
  <c r="L40" i="6"/>
  <c r="K40" i="6"/>
  <c r="J133" i="6" l="1"/>
  <c r="L133" i="6"/>
  <c r="K133" i="6"/>
  <c r="I134" i="6"/>
  <c r="L134" i="6" s="1"/>
  <c r="I82" i="6"/>
  <c r="J82" i="6" s="1"/>
  <c r="K81" i="6"/>
  <c r="L81" i="6"/>
  <c r="I42" i="6"/>
  <c r="M42" i="6" s="1"/>
  <c r="L41" i="6"/>
  <c r="K41" i="6"/>
  <c r="K134" i="6" l="1"/>
  <c r="J134" i="6"/>
  <c r="I135" i="6"/>
  <c r="I83" i="6"/>
  <c r="J83" i="6" s="1"/>
  <c r="L82" i="6"/>
  <c r="K82" i="6"/>
  <c r="I43" i="6"/>
  <c r="M43" i="6" s="1"/>
  <c r="L42" i="6"/>
  <c r="K42" i="6"/>
  <c r="K135" i="6" l="1"/>
  <c r="L135" i="6"/>
  <c r="J135" i="6"/>
  <c r="I136" i="6"/>
  <c r="I84" i="6"/>
  <c r="L83" i="6"/>
  <c r="K83" i="6"/>
  <c r="I44" i="6"/>
  <c r="M44" i="6" s="1"/>
  <c r="L43" i="6"/>
  <c r="K43" i="6"/>
  <c r="J136" i="6" l="1"/>
  <c r="L136" i="6"/>
  <c r="I137" i="6"/>
  <c r="K136" i="6"/>
  <c r="K84" i="6"/>
  <c r="J84" i="6"/>
  <c r="I85" i="6"/>
  <c r="L84" i="6"/>
  <c r="I45" i="6"/>
  <c r="M45" i="6" s="1"/>
  <c r="L44" i="6"/>
  <c r="K44" i="6"/>
  <c r="J137" i="6" l="1"/>
  <c r="L137" i="6"/>
  <c r="K137" i="6"/>
  <c r="I138" i="6"/>
  <c r="K85" i="6"/>
  <c r="J85" i="6"/>
  <c r="I86" i="6"/>
  <c r="J86" i="6" s="1"/>
  <c r="L85" i="6"/>
  <c r="I46" i="6"/>
  <c r="M46" i="6" s="1"/>
  <c r="K45" i="6"/>
  <c r="L45" i="6"/>
  <c r="J138" i="6" l="1"/>
  <c r="L138" i="6"/>
  <c r="K138" i="6"/>
  <c r="I139" i="6"/>
  <c r="K86" i="6"/>
  <c r="I87" i="6"/>
  <c r="J87" i="6" s="1"/>
  <c r="L86" i="6"/>
  <c r="I47" i="6"/>
  <c r="M47" i="6" s="1"/>
  <c r="L46" i="6"/>
  <c r="K46" i="6"/>
  <c r="J139" i="6" l="1"/>
  <c r="L139" i="6"/>
  <c r="K139" i="6"/>
  <c r="I140" i="6"/>
  <c r="K87" i="6"/>
  <c r="I88" i="6"/>
  <c r="J88" i="6" s="1"/>
  <c r="L87" i="6"/>
  <c r="I48" i="6"/>
  <c r="M48" i="6" s="1"/>
  <c r="K47" i="6"/>
  <c r="L47" i="6"/>
  <c r="J140" i="6" l="1"/>
  <c r="L140" i="6"/>
  <c r="K140" i="6"/>
  <c r="I141" i="6"/>
  <c r="I89" i="6"/>
  <c r="J89" i="6" s="1"/>
  <c r="L88" i="6"/>
  <c r="K88" i="6"/>
  <c r="I49" i="6"/>
  <c r="M49" i="6" s="1"/>
  <c r="L48" i="6"/>
  <c r="K48" i="6"/>
  <c r="J141" i="6" l="1"/>
  <c r="L141" i="6"/>
  <c r="I142" i="6"/>
  <c r="K141" i="6"/>
  <c r="I90" i="6"/>
  <c r="L89" i="6"/>
  <c r="K89" i="6"/>
  <c r="I50" i="6"/>
  <c r="M50" i="6" s="1"/>
  <c r="L49" i="6"/>
  <c r="K49" i="6"/>
  <c r="J142" i="6" l="1"/>
  <c r="L142" i="6"/>
  <c r="K142" i="6"/>
  <c r="I143" i="6"/>
  <c r="K90" i="6"/>
  <c r="J90" i="6"/>
  <c r="I91" i="6"/>
  <c r="J91" i="6" s="1"/>
  <c r="L90" i="6"/>
  <c r="I51" i="6"/>
  <c r="M51" i="6" s="1"/>
  <c r="L50" i="6"/>
  <c r="K50" i="6"/>
  <c r="J143" i="6" l="1"/>
  <c r="L143" i="6"/>
  <c r="K143" i="6"/>
  <c r="I144" i="6"/>
  <c r="I92" i="6"/>
  <c r="L91" i="6"/>
  <c r="K91" i="6"/>
  <c r="I52" i="6"/>
  <c r="M52" i="6" s="1"/>
  <c r="L51" i="6"/>
  <c r="K51" i="6"/>
  <c r="J144" i="6" l="1"/>
  <c r="L144" i="6"/>
  <c r="I145" i="6"/>
  <c r="K144" i="6"/>
  <c r="K92" i="6"/>
  <c r="J92" i="6"/>
  <c r="I93" i="6"/>
  <c r="J93" i="6" s="1"/>
  <c r="L92" i="6"/>
  <c r="L52" i="6"/>
  <c r="K52" i="6"/>
  <c r="J145" i="6" l="1"/>
  <c r="L145" i="6"/>
  <c r="I146" i="6"/>
  <c r="K145" i="6"/>
  <c r="I94" i="6"/>
  <c r="L93" i="6"/>
  <c r="K93" i="6"/>
  <c r="J146" i="6" l="1"/>
  <c r="L146" i="6"/>
  <c r="K146" i="6"/>
  <c r="I147" i="6"/>
  <c r="K94" i="6"/>
  <c r="J94" i="6"/>
  <c r="I95" i="6"/>
  <c r="L94" i="6"/>
  <c r="J147" i="6" l="1"/>
  <c r="L147" i="6"/>
  <c r="K147" i="6"/>
  <c r="I148" i="6"/>
  <c r="K95" i="6"/>
  <c r="J95" i="6"/>
  <c r="I96" i="6"/>
  <c r="J96" i="6" s="1"/>
  <c r="L95" i="6"/>
  <c r="J148" i="6" l="1"/>
  <c r="L148" i="6"/>
  <c r="K148" i="6"/>
  <c r="I149" i="6"/>
  <c r="I97" i="6"/>
  <c r="L96" i="6"/>
  <c r="K96" i="6"/>
  <c r="J149" i="6" l="1"/>
  <c r="L149" i="6"/>
  <c r="K149" i="6"/>
  <c r="I150" i="6"/>
  <c r="K97" i="6"/>
  <c r="J97" i="6"/>
  <c r="I98" i="6"/>
  <c r="J98" i="6" s="1"/>
  <c r="L97" i="6"/>
  <c r="J150" i="6" l="1"/>
  <c r="L150" i="6"/>
  <c r="K150" i="6"/>
  <c r="I151" i="6"/>
  <c r="I99" i="6"/>
  <c r="L98" i="6"/>
  <c r="K98" i="6"/>
  <c r="J151" i="6" l="1"/>
  <c r="L151" i="6"/>
  <c r="K151" i="6"/>
  <c r="I152" i="6"/>
  <c r="K99" i="6"/>
  <c r="J99" i="6"/>
  <c r="I100" i="6"/>
  <c r="J100" i="6" s="1"/>
  <c r="L99" i="6"/>
  <c r="J152" i="6" l="1"/>
  <c r="L152" i="6"/>
  <c r="K152" i="6"/>
  <c r="I153" i="6"/>
  <c r="I101" i="6"/>
  <c r="J101" i="6" s="1"/>
  <c r="L100" i="6"/>
  <c r="K100" i="6"/>
  <c r="J153" i="6" l="1"/>
  <c r="L153" i="6"/>
  <c r="K153" i="6"/>
  <c r="I154" i="6"/>
  <c r="I102" i="6"/>
  <c r="J102" i="6" s="1"/>
  <c r="L101" i="6"/>
  <c r="K101" i="6"/>
  <c r="J154" i="6" l="1"/>
  <c r="L154" i="6"/>
  <c r="K154" i="6"/>
  <c r="I155" i="6"/>
  <c r="I103" i="6"/>
  <c r="J103" i="6" s="1"/>
  <c r="L102" i="6"/>
  <c r="K102" i="6"/>
  <c r="J155" i="6" l="1"/>
  <c r="L155" i="6"/>
  <c r="K155" i="6"/>
  <c r="I156" i="6"/>
  <c r="I104" i="6"/>
  <c r="J104" i="6" s="1"/>
  <c r="L103" i="6"/>
  <c r="K103" i="6"/>
  <c r="J156" i="6" l="1"/>
  <c r="L156" i="6"/>
  <c r="K156" i="6"/>
  <c r="I157" i="6"/>
  <c r="I105" i="6"/>
  <c r="J105" i="6" s="1"/>
  <c r="L104" i="6"/>
  <c r="K104" i="6"/>
  <c r="J157" i="6" l="1"/>
  <c r="L157" i="6"/>
  <c r="K157" i="6"/>
  <c r="I158" i="6"/>
  <c r="I106" i="6"/>
  <c r="J106" i="6" s="1"/>
  <c r="L105" i="6"/>
  <c r="K105" i="6"/>
  <c r="J158" i="6" l="1"/>
  <c r="L158" i="6"/>
  <c r="K158" i="6"/>
  <c r="I159" i="6"/>
  <c r="I107" i="6"/>
  <c r="L106" i="6"/>
  <c r="K106" i="6"/>
  <c r="J159" i="6" l="1"/>
  <c r="L159" i="6"/>
  <c r="K159" i="6"/>
  <c r="I160" i="6"/>
  <c r="K107" i="6"/>
  <c r="J107" i="6"/>
  <c r="I108" i="6"/>
  <c r="J108" i="6" s="1"/>
  <c r="L107" i="6"/>
  <c r="J160" i="6" l="1"/>
  <c r="L160" i="6"/>
  <c r="K160" i="6"/>
  <c r="I161" i="6"/>
  <c r="I109" i="6"/>
  <c r="J109" i="6" s="1"/>
  <c r="L108" i="6"/>
  <c r="K108" i="6"/>
  <c r="J161" i="6" l="1"/>
  <c r="L161" i="6"/>
  <c r="K161" i="6"/>
  <c r="I162" i="6"/>
  <c r="K109" i="6"/>
  <c r="I110" i="6"/>
  <c r="J110" i="6" s="1"/>
  <c r="L109" i="6"/>
  <c r="J162" i="6" l="1"/>
  <c r="L162" i="6"/>
  <c r="I163" i="6"/>
  <c r="K162" i="6"/>
  <c r="K110" i="6"/>
  <c r="I111" i="6"/>
  <c r="L110" i="6"/>
  <c r="J163" i="6" l="1"/>
  <c r="L163" i="6"/>
  <c r="K163" i="6"/>
  <c r="I164" i="6"/>
  <c r="K111" i="6"/>
  <c r="J111" i="6"/>
  <c r="I112" i="6"/>
  <c r="L111" i="6"/>
  <c r="J164" i="6" l="1"/>
  <c r="L164" i="6"/>
  <c r="K164" i="6"/>
  <c r="I165" i="6"/>
  <c r="K112" i="6"/>
  <c r="J112" i="6"/>
  <c r="I113" i="6"/>
  <c r="L112" i="6"/>
  <c r="J165" i="6" l="1"/>
  <c r="L165" i="6"/>
  <c r="I166" i="6"/>
  <c r="K165" i="6"/>
  <c r="K113" i="6"/>
  <c r="J113" i="6"/>
  <c r="I114" i="6"/>
  <c r="L113" i="6"/>
  <c r="J166" i="6" l="1"/>
  <c r="L166" i="6"/>
  <c r="K166" i="6"/>
  <c r="I167" i="6"/>
  <c r="K114" i="6"/>
  <c r="J114" i="6"/>
  <c r="I115" i="6"/>
  <c r="L114" i="6"/>
  <c r="J167" i="6" l="1"/>
  <c r="L167" i="6"/>
  <c r="K167" i="6"/>
  <c r="I168" i="6"/>
  <c r="K115" i="6"/>
  <c r="J115" i="6"/>
  <c r="I116" i="6"/>
  <c r="L115" i="6"/>
  <c r="J168" i="6" l="1"/>
  <c r="L168" i="6"/>
  <c r="K168" i="6"/>
  <c r="I169" i="6"/>
  <c r="K116" i="6"/>
  <c r="J116" i="6"/>
  <c r="I117" i="6"/>
  <c r="J117" i="6" s="1"/>
  <c r="L116" i="6"/>
  <c r="J169" i="6" l="1"/>
  <c r="L169" i="6"/>
  <c r="I170" i="6"/>
  <c r="K169" i="6"/>
  <c r="I118" i="6"/>
  <c r="J118" i="6" s="1"/>
  <c r="L117" i="6"/>
  <c r="K117" i="6"/>
  <c r="J170" i="6" l="1"/>
  <c r="L170" i="6"/>
  <c r="K170" i="6"/>
  <c r="I171" i="6"/>
  <c r="K118" i="6"/>
  <c r="I119" i="6"/>
  <c r="J119" i="6" s="1"/>
  <c r="L118" i="6"/>
  <c r="J171" i="6" l="1"/>
  <c r="L171" i="6"/>
  <c r="I172" i="6"/>
  <c r="K171" i="6"/>
  <c r="I120" i="6"/>
  <c r="L119" i="6"/>
  <c r="K119" i="6"/>
  <c r="J172" i="6" l="1"/>
  <c r="L172" i="6"/>
  <c r="I173" i="6"/>
  <c r="K172" i="6"/>
  <c r="K120" i="6"/>
  <c r="J120" i="6"/>
  <c r="I121" i="6"/>
  <c r="J121" i="6" s="1"/>
  <c r="L120" i="6"/>
  <c r="J173" i="6" l="1"/>
  <c r="L173" i="6"/>
  <c r="I174" i="6"/>
  <c r="K173" i="6"/>
  <c r="I122" i="6"/>
  <c r="J122" i="6" s="1"/>
  <c r="L121" i="6"/>
  <c r="K121" i="6"/>
  <c r="J174" i="6" l="1"/>
  <c r="L174" i="6"/>
  <c r="K174" i="6"/>
  <c r="I175" i="6"/>
  <c r="K122" i="6"/>
  <c r="I123" i="6"/>
  <c r="J123" i="6" s="1"/>
  <c r="L122" i="6"/>
  <c r="J175" i="6" l="1"/>
  <c r="L175" i="6"/>
  <c r="K175" i="6"/>
  <c r="I176" i="6"/>
  <c r="I124" i="6"/>
  <c r="L123" i="6"/>
  <c r="K123" i="6"/>
  <c r="J176" i="6" l="1"/>
  <c r="L176" i="6"/>
  <c r="I177" i="6"/>
  <c r="L177" i="6" s="1"/>
  <c r="K176" i="6"/>
  <c r="K124" i="6"/>
  <c r="J124" i="6"/>
  <c r="I125" i="6"/>
  <c r="J125" i="6" s="1"/>
  <c r="L124" i="6"/>
  <c r="J177" i="6" l="1"/>
  <c r="I178" i="6"/>
  <c r="K177" i="6"/>
  <c r="I126" i="6"/>
  <c r="J126" i="6" s="1"/>
  <c r="L125" i="6"/>
  <c r="K125" i="6"/>
  <c r="J178" i="6" l="1"/>
  <c r="L178" i="6"/>
  <c r="K178" i="6"/>
  <c r="L126" i="6"/>
  <c r="K126" i="6"/>
  <c r="I187" i="6" l="1"/>
  <c r="L187" i="6" l="1"/>
  <c r="J187" i="6"/>
  <c r="K187" i="6"/>
  <c r="I188" i="6"/>
  <c r="L188" i="6" l="1"/>
  <c r="J188" i="6"/>
  <c r="K188" i="6"/>
  <c r="I189" i="6"/>
  <c r="L189" i="6" l="1"/>
  <c r="J189" i="6"/>
  <c r="K189" i="6"/>
  <c r="I190" i="6"/>
  <c r="J190" i="6" s="1"/>
  <c r="K190" i="6" l="1"/>
  <c r="L190" i="6"/>
  <c r="I191" i="6"/>
  <c r="J191" i="6" s="1"/>
  <c r="K191" i="6" l="1"/>
  <c r="L191" i="6"/>
  <c r="I192" i="6"/>
  <c r="J192" i="6" s="1"/>
  <c r="K192" i="6" l="1"/>
  <c r="L192" i="6"/>
  <c r="I193" i="6"/>
  <c r="J193" i="6" s="1"/>
  <c r="K193" i="6" l="1"/>
  <c r="L193" i="6"/>
  <c r="I194" i="6"/>
  <c r="J194" i="6" s="1"/>
  <c r="K194" i="6" l="1"/>
  <c r="L194" i="6"/>
  <c r="I195" i="6"/>
  <c r="J195" i="6" s="1"/>
  <c r="K195" i="6" l="1"/>
  <c r="L195" i="6"/>
  <c r="I196" i="6"/>
  <c r="J196" i="6" s="1"/>
  <c r="K196" i="6" l="1"/>
  <c r="L196" i="6"/>
  <c r="I197" i="6"/>
  <c r="J197" i="6" s="1"/>
  <c r="K197" i="6" l="1"/>
  <c r="L197" i="6"/>
  <c r="I198" i="6"/>
  <c r="J198" i="6" s="1"/>
  <c r="K198" i="6" l="1"/>
  <c r="L198" i="6"/>
  <c r="I199" i="6"/>
  <c r="J199" i="6" s="1"/>
  <c r="K199" i="6" l="1"/>
  <c r="L199" i="6"/>
  <c r="I200" i="6"/>
  <c r="J200" i="6" s="1"/>
  <c r="K200" i="6" l="1"/>
  <c r="L200" i="6"/>
  <c r="I201" i="6"/>
  <c r="J201" i="6" s="1"/>
  <c r="K201" i="6" l="1"/>
  <c r="L201" i="6"/>
  <c r="I202" i="6"/>
  <c r="J202" i="6" s="1"/>
  <c r="K202" i="6" l="1"/>
  <c r="L202" i="6"/>
  <c r="I203" i="6"/>
  <c r="J203" i="6" s="1"/>
  <c r="K203" i="6" l="1"/>
  <c r="L203" i="6"/>
  <c r="I204" i="6"/>
  <c r="J204" i="6" s="1"/>
  <c r="K204" i="6" l="1"/>
  <c r="L204" i="6"/>
  <c r="I205" i="6"/>
  <c r="J205" i="6" s="1"/>
  <c r="K205" i="6" l="1"/>
  <c r="L205" i="6"/>
  <c r="I206" i="6"/>
  <c r="J206" i="6" s="1"/>
  <c r="K206" i="6" l="1"/>
  <c r="L206" i="6"/>
  <c r="I207" i="6"/>
  <c r="J207" i="6" s="1"/>
  <c r="K207" i="6" l="1"/>
  <c r="L207" i="6"/>
  <c r="I208" i="6"/>
  <c r="J208" i="6" s="1"/>
  <c r="K208" i="6" l="1"/>
  <c r="L208" i="6"/>
  <c r="I209" i="6"/>
  <c r="J209" i="6" s="1"/>
  <c r="K209" i="6" l="1"/>
  <c r="L209" i="6"/>
  <c r="I210" i="6"/>
  <c r="J210" i="6" s="1"/>
  <c r="K210" i="6" l="1"/>
  <c r="L210" i="6"/>
  <c r="I211" i="6"/>
  <c r="J211" i="6" s="1"/>
  <c r="K211" i="6" l="1"/>
  <c r="L211" i="6"/>
  <c r="I212" i="6"/>
  <c r="J212" i="6" s="1"/>
  <c r="K212" i="6" l="1"/>
  <c r="L212" i="6"/>
  <c r="I213" i="6"/>
  <c r="J213" i="6" s="1"/>
  <c r="K213" i="6" l="1"/>
  <c r="L213" i="6"/>
  <c r="I214" i="6"/>
  <c r="J214" i="6" s="1"/>
  <c r="K214" i="6" l="1"/>
  <c r="L214" i="6"/>
  <c r="I215" i="6"/>
  <c r="J215" i="6" s="1"/>
  <c r="K215" i="6" l="1"/>
  <c r="L215" i="6"/>
  <c r="I216" i="6"/>
  <c r="J216" i="6" s="1"/>
  <c r="K216" i="6" l="1"/>
  <c r="L216" i="6"/>
  <c r="I217" i="6"/>
  <c r="J217" i="6" s="1"/>
  <c r="K217" i="6" l="1"/>
  <c r="L217" i="6"/>
  <c r="I218" i="6"/>
  <c r="J218" i="6" s="1"/>
  <c r="K218" i="6" l="1"/>
  <c r="L218" i="6"/>
  <c r="I219" i="6"/>
  <c r="J219" i="6" s="1"/>
  <c r="K219" i="6" l="1"/>
  <c r="L219" i="6"/>
  <c r="I220" i="6"/>
  <c r="J220" i="6" s="1"/>
  <c r="K220" i="6" l="1"/>
  <c r="L220" i="6"/>
  <c r="I221" i="6"/>
  <c r="J221" i="6" s="1"/>
  <c r="K221" i="6" l="1"/>
  <c r="L221" i="6"/>
  <c r="I222" i="6"/>
  <c r="J222" i="6" s="1"/>
  <c r="K222" i="6" l="1"/>
  <c r="L222" i="6"/>
  <c r="I223" i="6"/>
  <c r="J223" i="6" s="1"/>
  <c r="K223" i="6" l="1"/>
  <c r="L223" i="6"/>
  <c r="I224" i="6"/>
  <c r="J224" i="6" s="1"/>
  <c r="K224" i="6" l="1"/>
  <c r="L224" i="6"/>
  <c r="I225" i="6"/>
  <c r="J225" i="6" s="1"/>
  <c r="K225" i="6" l="1"/>
  <c r="L225" i="6"/>
  <c r="I226" i="6"/>
  <c r="J226" i="6" s="1"/>
  <c r="K226" i="6" l="1"/>
  <c r="L226" i="6"/>
  <c r="I227" i="6"/>
  <c r="J227" i="6" s="1"/>
  <c r="K227" i="6" l="1"/>
  <c r="L227" i="6"/>
  <c r="I228" i="6"/>
  <c r="J228" i="6" s="1"/>
  <c r="K228" i="6" l="1"/>
  <c r="L228" i="6"/>
  <c r="I229" i="6"/>
  <c r="J229" i="6" s="1"/>
  <c r="K229" i="6" l="1"/>
  <c r="L229" i="6"/>
  <c r="I230" i="6"/>
  <c r="J230" i="6" s="1"/>
  <c r="K230" i="6" l="1"/>
  <c r="L230" i="6"/>
  <c r="I231" i="6"/>
  <c r="J231" i="6" s="1"/>
  <c r="K231" i="6" l="1"/>
  <c r="L231" i="6"/>
  <c r="I232" i="6"/>
  <c r="J232" i="6" s="1"/>
  <c r="K232" i="6" l="1"/>
  <c r="L232" i="6"/>
  <c r="I233" i="6"/>
  <c r="J233" i="6" s="1"/>
  <c r="K233" i="6" l="1"/>
  <c r="L233" i="6"/>
  <c r="I234" i="6"/>
  <c r="J234" i="6" s="1"/>
  <c r="K234" i="6" l="1"/>
  <c r="L234" i="6"/>
</calcChain>
</file>

<file path=xl/comments1.xml><?xml version="1.0" encoding="utf-8"?>
<comments xmlns="http://schemas.openxmlformats.org/spreadsheetml/2006/main">
  <authors>
    <author>ttl21</author>
  </authors>
  <commentList>
    <comment ref="C21" authorId="0">
      <text>
        <r>
          <rPr>
            <sz val="9"/>
            <color indexed="81"/>
            <rFont val="Tahoma"/>
            <family val="2"/>
          </rPr>
          <t xml:space="preserve">ekm (kg) = maitotuotos (kg) × (383 × rasva-% + 242 × valk-% + 783,2) / 3140 </t>
        </r>
      </text>
    </comment>
    <comment ref="C34" authorId="0">
      <text>
        <r>
          <rPr>
            <sz val="9"/>
            <color indexed="81"/>
            <rFont val="Tahoma"/>
            <family val="2"/>
          </rPr>
          <t xml:space="preserve">=((poikimaväli-ummessaoloaika)/poikimaväli)*365
</t>
        </r>
      </text>
    </comment>
    <comment ref="A40" authorId="0">
      <text>
        <r>
          <rPr>
            <sz val="9"/>
            <color indexed="81"/>
            <rFont val="Tahoma"/>
            <family val="2"/>
          </rPr>
          <t>Kustannus jaettu investoinnin koko kestoajalle</t>
        </r>
      </text>
    </comment>
  </commentList>
</comments>
</file>

<file path=xl/sharedStrings.xml><?xml version="1.0" encoding="utf-8"?>
<sst xmlns="http://schemas.openxmlformats.org/spreadsheetml/2006/main" count="413" uniqueCount="250">
  <si>
    <t>mean</t>
  </si>
  <si>
    <t>sd</t>
  </si>
  <si>
    <t>Jakauma</t>
  </si>
  <si>
    <t>Vasikka, lehmä</t>
  </si>
  <si>
    <t>Vasikka, sonni</t>
  </si>
  <si>
    <t>Eläinlääkintä</t>
  </si>
  <si>
    <t>Siemennys</t>
  </si>
  <si>
    <t>Eläinten hankinta</t>
  </si>
  <si>
    <t>Eläinpääoman korko</t>
  </si>
  <si>
    <t>Pääomitus</t>
  </si>
  <si>
    <t>veto</t>
  </si>
  <si>
    <t>min</t>
  </si>
  <si>
    <t>max</t>
  </si>
  <si>
    <t>Hinnan saavuttamisen todennäköisyys</t>
  </si>
  <si>
    <t>Hakufunktio jolla voi hakea satunnaisen luvun jakaumasta</t>
  </si>
  <si>
    <t>Tilan sijainti</t>
  </si>
  <si>
    <t>Tukialue</t>
  </si>
  <si>
    <t>Lehmäpaikat, kpl</t>
  </si>
  <si>
    <t>Alkioiden myynti, kpl/vuosi</t>
  </si>
  <si>
    <t>Yleiskustannus</t>
  </si>
  <si>
    <t>Hiehon poikimaikä, pv</t>
  </si>
  <si>
    <t>Poikimaväli, pv</t>
  </si>
  <si>
    <t>-rasva, %</t>
  </si>
  <si>
    <t>-valkuainen, %</t>
  </si>
  <si>
    <t>Uudistus, %</t>
  </si>
  <si>
    <t>Yksikkö</t>
  </si>
  <si>
    <t>€/lehmä</t>
  </si>
  <si>
    <t>kg</t>
  </si>
  <si>
    <t>kpl</t>
  </si>
  <si>
    <t>Tuotot yhteensä</t>
  </si>
  <si>
    <t>Muuttuvat kustannukset</t>
  </si>
  <si>
    <t>kg ka</t>
  </si>
  <si>
    <t>Uudistus</t>
  </si>
  <si>
    <t>Muut muuttuvat kustannukset</t>
  </si>
  <si>
    <t>Muuttuvat kustannukset yhteensä</t>
  </si>
  <si>
    <t>Katetuotto A</t>
  </si>
  <si>
    <t>Työkustannukset</t>
  </si>
  <si>
    <t>Katetuotto B</t>
  </si>
  <si>
    <t>Yleiskustannukset</t>
  </si>
  <si>
    <t>Kate rakennuksen ja koneiden poistolle ja korolle</t>
  </si>
  <si>
    <t xml:space="preserve">Maito </t>
  </si>
  <si>
    <t>litra</t>
  </si>
  <si>
    <t xml:space="preserve">Liha </t>
  </si>
  <si>
    <t>Maidon tuotantotuki</t>
  </si>
  <si>
    <t xml:space="preserve">Muut kotieläintuotannon tuet </t>
  </si>
  <si>
    <t>Alkio</t>
  </si>
  <si>
    <t>Muut kotieläintuotot</t>
  </si>
  <si>
    <t>Lehmäkohtainen tuki</t>
  </si>
  <si>
    <t>€/karja</t>
  </si>
  <si>
    <t>h</t>
  </si>
  <si>
    <t>Rakennusten ja koneiden huolto- ja korjauskustannus</t>
  </si>
  <si>
    <t>Kotoinen karkearehu</t>
  </si>
  <si>
    <t>€</t>
  </si>
  <si>
    <t>Vasikkakuolleisuus, %</t>
  </si>
  <si>
    <t>Karjakoko</t>
  </si>
  <si>
    <t>Siemennykset, kpl/tiineys</t>
  </si>
  <si>
    <t xml:space="preserve">Liikepääoman korko </t>
  </si>
  <si>
    <t xml:space="preserve">Liikepääoman määrä </t>
  </si>
  <si>
    <t>a' hinta</t>
  </si>
  <si>
    <t>€/tunti</t>
  </si>
  <si>
    <t>€/päivä</t>
  </si>
  <si>
    <t>Lypsypäiviä vuodessa</t>
  </si>
  <si>
    <t>Nurmisäilörehu</t>
  </si>
  <si>
    <t>Ohra</t>
  </si>
  <si>
    <t>Vilja</t>
  </si>
  <si>
    <t>Lypsykivennäinen</t>
  </si>
  <si>
    <t>Rehu,kg ka / pv</t>
  </si>
  <si>
    <t>TUET</t>
  </si>
  <si>
    <t>AB</t>
  </si>
  <si>
    <t>C1</t>
  </si>
  <si>
    <t>C2</t>
  </si>
  <si>
    <t>C3P1</t>
  </si>
  <si>
    <t>C3P2</t>
  </si>
  <si>
    <t>C3P3-P4</t>
  </si>
  <si>
    <t>C4P4</t>
  </si>
  <si>
    <t>C4P5</t>
  </si>
  <si>
    <t>Lypsylehmäpalkkio</t>
  </si>
  <si>
    <t>€/eläin</t>
  </si>
  <si>
    <t>€/litra</t>
  </si>
  <si>
    <t>Oma kotieläintyö</t>
  </si>
  <si>
    <t>Vieras kotieläintyötyö</t>
  </si>
  <si>
    <t>Työkustannus yhteensä</t>
  </si>
  <si>
    <t>Hinta</t>
  </si>
  <si>
    <t>Rypsi R</t>
  </si>
  <si>
    <t>Kivennäinen, kg</t>
  </si>
  <si>
    <t>€/kg ka</t>
  </si>
  <si>
    <t>€/kg</t>
  </si>
  <si>
    <t>Nettonykyarvo</t>
  </si>
  <si>
    <t>Karjakoko, lehmää</t>
  </si>
  <si>
    <t>Kotieläintyö</t>
  </si>
  <si>
    <t>ei uudistusta</t>
  </si>
  <si>
    <t>ml. uudistus</t>
  </si>
  <si>
    <t>SE-139</t>
  </si>
  <si>
    <t>SE-230</t>
  </si>
  <si>
    <t>DK-150</t>
  </si>
  <si>
    <t>DK-275</t>
  </si>
  <si>
    <t>NL-76</t>
  </si>
  <si>
    <t>NL-197</t>
  </si>
  <si>
    <t>DE-30</t>
  </si>
  <si>
    <t>DE-98</t>
  </si>
  <si>
    <t>Model Summary and Parameter Estimates</t>
  </si>
  <si>
    <t xml:space="preserve">Dependent Variable: </t>
  </si>
  <si>
    <t>tunnit</t>
  </si>
  <si>
    <t>Equation</t>
  </si>
  <si>
    <t>Model Summary</t>
  </si>
  <si>
    <t>Parameter Estimates</t>
  </si>
  <si>
    <t>R Square</t>
  </si>
  <si>
    <t>F</t>
  </si>
  <si>
    <t>df1</t>
  </si>
  <si>
    <t>df2</t>
  </si>
  <si>
    <t>Sig.</t>
  </si>
  <si>
    <t>Constant</t>
  </si>
  <si>
    <t>b1</t>
  </si>
  <si>
    <t>Power</t>
  </si>
  <si>
    <t>Työnmenekki Y = b0 * (x**b1)</t>
  </si>
  <si>
    <t>Kate rakennuksen poistolle ja korolle</t>
  </si>
  <si>
    <t>Todennäköisyys että vähemmän kuin</t>
  </si>
  <si>
    <t>Kriittisillä € määräisillä arvoilla</t>
  </si>
  <si>
    <t>mu=(min+median*4+max)/6</t>
  </si>
  <si>
    <t>median</t>
  </si>
  <si>
    <t>alfa1=6*((mu-min)/(max-min))</t>
  </si>
  <si>
    <t>alfa2=6*((max-mu)/(max-min))</t>
  </si>
  <si>
    <t>Beta(alfa1,alfa2)=EXP(GAMMALN(alfa1)+GAMMALN(alfa2)−GAMMALN(alfa1+alfa2))</t>
  </si>
  <si>
    <t>x</t>
  </si>
  <si>
    <t>PERT Density=(x-min)^(alfa1-1)*(max-x)^(alfa2-1)/Beta(alfa1,alfa2)/((max-min)^(alfa1+alfa2-1))</t>
  </si>
  <si>
    <t>Kertymäfunktio</t>
  </si>
  <si>
    <t>Beeta NNA</t>
  </si>
  <si>
    <t>mediaani</t>
  </si>
  <si>
    <t>Beeta-jakauma</t>
  </si>
  <si>
    <t>Keskiarvo</t>
  </si>
  <si>
    <t>Karjan keskituotos, kg EKM/pv</t>
  </si>
  <si>
    <t>korko</t>
  </si>
  <si>
    <t>hinta ilman ALV:a</t>
  </si>
  <si>
    <t>yksikkö</t>
  </si>
  <si>
    <t>€/lehmäpaikka</t>
  </si>
  <si>
    <t>Investoinnin jälkeen</t>
  </si>
  <si>
    <t>€/alkio</t>
  </si>
  <si>
    <t>Lehmänlihan hinta</t>
  </si>
  <si>
    <t>myyntialkioiden keskihinta</t>
  </si>
  <si>
    <t>poistolehmien lihasta saatava hinta</t>
  </si>
  <si>
    <t>Sonnivasikan hinta</t>
  </si>
  <si>
    <t>€/vasikka</t>
  </si>
  <si>
    <t>Lehmävasikan hinta</t>
  </si>
  <si>
    <t>€/siemennys</t>
  </si>
  <si>
    <t>Määrä</t>
  </si>
  <si>
    <t>Huomautuksia</t>
  </si>
  <si>
    <t>€/hieho</t>
  </si>
  <si>
    <t>Hiehon kasvatuskustannus</t>
  </si>
  <si>
    <t>The independent variable is lehma.</t>
  </si>
  <si>
    <t>yleiskustannus per lehmä</t>
  </si>
  <si>
    <t xml:space="preserve">Aineisto: </t>
  </si>
  <si>
    <t>Kannattavuuskirjanpidon maitotilat 2011 (N=335)</t>
  </si>
  <si>
    <t>Yleiskustannuksessa mukana vakuutukset ja muu kiinteä kustannus</t>
  </si>
  <si>
    <t>Beeta-jakauman kate rakennuksen ja koneiden poistolle ja korolle</t>
  </si>
  <si>
    <t>Ketperlehma</t>
  </si>
  <si>
    <t>Vertailuaineisto: Kannattavuuskirjanpidon maitotilat 2011 (N=355)</t>
  </si>
  <si>
    <t>Todennäköisyys, että kate (rakennuksen ja koneiden poistolle ja korolle) on suurempi kuin</t>
  </si>
  <si>
    <t>Minimi</t>
  </si>
  <si>
    <t>Maksimi</t>
  </si>
  <si>
    <t>Valinta</t>
  </si>
  <si>
    <t>Ruokintapäiviä</t>
  </si>
  <si>
    <t>kertaa viljan hinta</t>
  </si>
  <si>
    <t>Viljan hinta, e/kg ka</t>
  </si>
  <si>
    <t>Säilörehu, e/kg ka</t>
  </si>
  <si>
    <t>Maidon hinta, e/kg ekm</t>
  </si>
  <si>
    <t>Keskituotos, kg/vuosi</t>
  </si>
  <si>
    <t>Odotusarvo</t>
  </si>
  <si>
    <t>Lypsypäiviä</t>
  </si>
  <si>
    <t>Tuotot</t>
  </si>
  <si>
    <t>pääomituskerroin</t>
  </si>
  <si>
    <t>aika, vuotta</t>
  </si>
  <si>
    <t>Lehmäpaikan kate ja nettonykyarvo</t>
  </si>
  <si>
    <t>peltoalaperusteiset tuet vähennettynä</t>
  </si>
  <si>
    <t>€/vuosi</t>
  </si>
  <si>
    <t>Kotieläintuotannon tuet (pl. tuotantoon sidotut tuet)</t>
  </si>
  <si>
    <t>LÄHTÖTIEDOT LEHMÄPAIKAN KATTEEN LASKEMISEKSI, kate rakennuksen pääomakustannuksille</t>
  </si>
  <si>
    <t>lehmävasikoiden arvo/myyntihinta</t>
  </si>
  <si>
    <t>sonnivasikoiden arvo/myyntihinta</t>
  </si>
  <si>
    <t xml:space="preserve">Maidon </t>
  </si>
  <si>
    <t>Muu kotieläintuotto, yhteensä</t>
  </si>
  <si>
    <t>-tuet, yhteensä</t>
  </si>
  <si>
    <t>€/lehmä/vuosi</t>
  </si>
  <si>
    <t>Muu kotieläinkustannus</t>
  </si>
  <si>
    <t>Investoinnin kesto, vuotta</t>
  </si>
  <si>
    <t>Laskentakorkokanta, %</t>
  </si>
  <si>
    <t>Rehujen hinnat</t>
  </si>
  <si>
    <t>- lehmävasikat, kpl/investointi</t>
  </si>
  <si>
    <t>- hiehot, kpl/investointi</t>
  </si>
  <si>
    <t>- lehmät, kpl/investointi</t>
  </si>
  <si>
    <t>- kotoisen karkearehun tuotantokustannus</t>
  </si>
  <si>
    <t>- viljan hinta</t>
  </si>
  <si>
    <t>- valkuaisrehun hinta</t>
  </si>
  <si>
    <t>- kivennäisen hinta</t>
  </si>
  <si>
    <t xml:space="preserve">Kokonaistyönmenekki, tuntia/lehmä/vuosi </t>
  </si>
  <si>
    <t>C2pohj. , C-saar.</t>
  </si>
  <si>
    <t>RUOKINTA</t>
  </si>
  <si>
    <t>YLEISKUSTSNNUS</t>
  </si>
  <si>
    <t>Yleiskustannus Y = b0 * (x**b1)</t>
  </si>
  <si>
    <t>TYÖNMENEKKI</t>
  </si>
  <si>
    <t>Kotimaisen aineiston lähde: Kokonaistyönmenekki ja lehmä-nuorkarja -suhde, kannattavuuskirjanpitotilat 2013; hiehon työnmenekki, Kestävä lehmä, Heikkilä ym.</t>
  </si>
  <si>
    <t xml:space="preserve">Eurooppalaisen aineston lähde:Suomen maitotilojen rakennekehitys ja kilpailukyky : IFCN-tyyppitilatarkastelu 2001–2011, MTT Raportti 126.
Ovaska, Sami; Heikkilä, Anna-Maija (2013)
</t>
  </si>
  <si>
    <t>Odotettavissa oleva investointiavustus</t>
  </si>
  <si>
    <t>Investointiavustus huomioiden</t>
  </si>
  <si>
    <t>Ilman investointiavustusta</t>
  </si>
  <si>
    <t>Todennäköisyys, että lehmäpaikan nettonykyarvo on suurempi kuin</t>
  </si>
  <si>
    <t>Todennäköisyys, että vuotuinen kate (rakennuksen ja koneiden poistolle ja korolle) on suurempi kuin</t>
  </si>
  <si>
    <t>Navettainvestoinnin kannattavuuslaskuri</t>
  </si>
  <si>
    <t>Oletukset</t>
  </si>
  <si>
    <t>Tulokset</t>
  </si>
  <si>
    <t>Taulukon uudelleenlaskenta F9</t>
  </si>
  <si>
    <t>Lehmäpaikan hinnan vaikutus investoinnin onnistumiseen</t>
  </si>
  <si>
    <r>
      <rPr>
        <b/>
        <sz val="12"/>
        <rFont val="Calibri"/>
        <family val="2"/>
        <scheme val="minor"/>
      </rPr>
      <t>Lähtötiedot-välilehdellä</t>
    </r>
    <r>
      <rPr>
        <sz val="12"/>
        <rFont val="Calibri"/>
        <family val="2"/>
        <scheme val="minor"/>
      </rPr>
      <t xml:space="preserve"> asetetaan laskelmaan perustiedot. Vihreällä merkityt solut ovat käyttäjän muokattavissa. Lähtöarvot voi palauttaa Palauta oletukset -painikkeella, mikäli makrot ovat käytössä. Joistakin muuttujista pyydetään arvioimaan pienin, odotettavissa oleva, sekä suurin mahdollinen muuttujan arvo.  Arvot kuvaavat hintojen ja tuotosten vaihtelua, joka investoinnin käyttöaikana on  odotettavissa.</t>
    </r>
  </si>
  <si>
    <r>
      <rPr>
        <b/>
        <sz val="12"/>
        <rFont val="Calibri"/>
        <family val="2"/>
        <scheme val="minor"/>
      </rPr>
      <t>Lisätietoja</t>
    </r>
    <r>
      <rPr>
        <sz val="12"/>
        <rFont val="Calibri"/>
        <family val="2"/>
        <scheme val="minor"/>
      </rPr>
      <t>: anna-maija.heikkila@luke.fi, olli.niskanen@luke.fi</t>
    </r>
  </si>
  <si>
    <r>
      <rPr>
        <b/>
        <sz val="12"/>
        <rFont val="Calibri"/>
        <family val="2"/>
        <scheme val="minor"/>
      </rPr>
      <t>Mariski-laskuri</t>
    </r>
    <r>
      <rPr>
        <sz val="12"/>
        <rFont val="Calibri"/>
        <family val="2"/>
        <scheme val="minor"/>
      </rPr>
      <t xml:space="preserve"> on työkalu lypsykarjatilan tuotantorakennusinvestoinnin kannattavuuslaskentaan. Laskurissa kannattavuutta mitataan nykyarvomenetelmällä, jossa investoinnin vuotuiset tuotot muutetaan diskonttaamalla investointiajankohdan rahamääriksi eli nykyarvoiksi. Jos nykyarvojen summa on suurempi kuin investoinnin kustannus, investointi on kannattava. Koska laskuri ottaa huomioon tuottoihin sisältyvän vaihteluriskin, yksittäisten kynnysarvojen sijaan vastauksena saadaan investoinnin kannattavuuden todennäköisyys.</t>
    </r>
  </si>
  <si>
    <r>
      <rPr>
        <b/>
        <sz val="12"/>
        <rFont val="Calibri"/>
        <family val="2"/>
        <scheme val="minor"/>
      </rPr>
      <t>Katelaskelma-välilehdellä</t>
    </r>
    <r>
      <rPr>
        <sz val="12"/>
        <rFont val="Calibri"/>
        <family val="2"/>
        <scheme val="minor"/>
      </rPr>
      <t xml:space="preserve"> on eritelty lehmäpaikan tuotot ja kustannukset, joiden erotuksena määritetään vuotuinen kate rakennuksen ja koneiden poistolle ja korolle. Kyseinen kate on nettonykyarvon laskennassa käytettävä lehmäpaikan tuotto, jonka se antaa paikkaan sijoitetulle pääomalle.</t>
    </r>
  </si>
  <si>
    <t>Todennäköisyys, että investoinnin nettonykyarvo on vähintään investointikustannuksen suuruinen investointiavustustuksen ollessa lähtötietojen mukainen</t>
  </si>
  <si>
    <r>
      <t xml:space="preserve">Tulokset-välilehdellä </t>
    </r>
    <r>
      <rPr>
        <sz val="12"/>
        <rFont val="Calibri"/>
        <family val="2"/>
        <scheme val="minor"/>
      </rPr>
      <t>kerrotaan investoinnin kannattavuuden todennäköisyys annetuilla lähtöarvoilla. Lisäksi välilehdeltä löytyvät kuviot, jotka kertovat investoinnin kannattavuuden todennäköisyyden lehmäpaikan hinnan vaihdellessa sekä todennäköisyyden sille, että lehmäpaikan kate ja nettonykyarvo saavuttavat tietyt, kuviossa näkyvät arvot. Taulukon laskennat saa tarvittaessa päivitettyä näppäimistön painikkeella F9.</t>
    </r>
  </si>
  <si>
    <t>Kivennäinen</t>
  </si>
  <si>
    <t>Vakio- ja keskituotos</t>
  </si>
  <si>
    <t>Tuotosvaihtoehdot</t>
  </si>
  <si>
    <t>normimaidon hinta</t>
  </si>
  <si>
    <t>Kokonaistyönmenekki</t>
  </si>
  <si>
    <t xml:space="preserve">tuntia/lehmä/vuosi </t>
  </si>
  <si>
    <t>vakuutukset ja muu kiinteä kustannus</t>
  </si>
  <si>
    <t>Vertailukelpoinen nykyarvojen mediaani</t>
  </si>
  <si>
    <t>Suunniteltu kokonaisinvestointi, euroa</t>
  </si>
  <si>
    <t>Lehmäpaikan kustannus, euroa</t>
  </si>
  <si>
    <t>Lehmäpaikan kate ja nettonykyarvo tuotoksen ja hintojen odotusarvoilla</t>
  </si>
  <si>
    <t>Nettonykyarvo, jolla kannattavan investoinnin todennäköisyys 50 %</t>
  </si>
  <si>
    <t>Oman työn korvaus</t>
  </si>
  <si>
    <t>Korvaus omalle työlle</t>
  </si>
  <si>
    <t>Pääomakustannus</t>
  </si>
  <si>
    <t>Maidon keskihinta</t>
  </si>
  <si>
    <t>Tilan meijerimaito per eläinpaikat</t>
  </si>
  <si>
    <t>Todennäköisyys, että yrittäjäperheen palkka ja tilan kehittämisen tulorahoitus on vähintään (kun pääomakustannus on maksettu kokonaan, investointiavustus huomioituna)</t>
  </si>
  <si>
    <t>Maitotuotos per lehmäpaikka (meijerimaito)</t>
  </si>
  <si>
    <t>vesi, sähkö, puhtaanapito, neuvonta yms.</t>
  </si>
  <si>
    <t>Vuosityöaika yhteensä</t>
  </si>
  <si>
    <t>-oma kotieläintyö</t>
  </si>
  <si>
    <t>-vieras kotieläintyö</t>
  </si>
  <si>
    <t>-vieraan työvoiman palkan sivukulut</t>
  </si>
  <si>
    <t>Työn menekki ja hinta, (ainoastaan kotieläintyöt)</t>
  </si>
  <si>
    <t>Vihreällä korostetut luvut ovat muokattavissa</t>
  </si>
  <si>
    <t>litraa/v</t>
  </si>
  <si>
    <t>Kuukausina</t>
  </si>
  <si>
    <t>Palkan sivukulujen laskuri: https://www.palkka.fi/palkkalaskuri/</t>
  </si>
  <si>
    <t>http://maatila2020.savonia.fi/images/talous/tyovoima/julkaisut/Maatila_tyonantajana.pdf</t>
  </si>
  <si>
    <t>Kokoaikaisen maataloustyöntekijän työtuntimäärä voi olla esim. 1720 tuntia vuodessa</t>
  </si>
  <si>
    <t>Tuet 1.4.2019 alkaen</t>
  </si>
  <si>
    <t>Viimeisin päivitys 11.04.2019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</si>
</sst>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6" formatCode="#,##0\ &quot;€&quot;;[Red]\-#,##0\ &quot;€&quot;"/>
    <numFmt numFmtId="8" formatCode="#,##0.00\ &quot;€&quot;;[Red]\-#,##0.00\ &quot;€&quot;"/>
    <numFmt numFmtId="43" formatCode="_-* #,##0.00\ _€_-;\-* #,##0.00\ _€_-;_-* &quot;-&quot;??\ _€_-;_-@_-"/>
    <numFmt numFmtId="164" formatCode="0.0000"/>
    <numFmt numFmtId="165" formatCode="0.000"/>
    <numFmt numFmtId="166" formatCode="####.000"/>
    <numFmt numFmtId="167" formatCode="###0.000"/>
    <numFmt numFmtId="168" formatCode="###0"/>
    <numFmt numFmtId="169" formatCode="0.00000"/>
    <numFmt numFmtId="170" formatCode="0.0\ %"/>
    <numFmt numFmtId="171" formatCode="_-* #,##0\ _€_-;\-* #,##0\ _€_-;_-* &quot;-&quot;??\ _€_-;_-@_-"/>
    <numFmt numFmtId="172" formatCode="0.0"/>
  </numFmts>
  <fonts count="32" x14ac:knownFonts="1">
    <font>
      <sz val="10"/>
      <name val="Arial"/>
    </font>
    <font>
      <sz val="11"/>
      <color theme="1"/>
      <name val="Calibri"/>
      <family val="2"/>
      <scheme val="minor"/>
    </font>
    <font>
      <sz val="10"/>
      <color theme="1"/>
      <name val="Arial"/>
      <family val="2"/>
    </font>
    <font>
      <sz val="10"/>
      <name val="Arial"/>
      <family val="2"/>
    </font>
    <font>
      <sz val="12"/>
      <name val="Calibri"/>
      <family val="2"/>
      <scheme val="minor"/>
    </font>
    <font>
      <b/>
      <sz val="10"/>
      <name val="Arial"/>
      <family val="2"/>
    </font>
    <font>
      <b/>
      <sz val="12"/>
      <color theme="1"/>
      <name val="Times New Roman"/>
      <family val="1"/>
    </font>
    <font>
      <sz val="9"/>
      <color indexed="81"/>
      <name val="Tahoma"/>
      <family val="2"/>
    </font>
    <font>
      <b/>
      <sz val="10"/>
      <color theme="1"/>
      <name val="Arial"/>
      <family val="2"/>
    </font>
    <font>
      <sz val="9"/>
      <color rgb="FF000000"/>
      <name val="Arial"/>
      <family val="2"/>
    </font>
    <font>
      <sz val="9"/>
      <name val="Arial"/>
      <family val="2"/>
    </font>
    <font>
      <b/>
      <sz val="9"/>
      <color indexed="8"/>
      <name val="Arial Bold"/>
    </font>
    <font>
      <sz val="9"/>
      <color indexed="8"/>
      <name val="Arial"/>
      <family val="2"/>
    </font>
    <font>
      <sz val="11"/>
      <color rgb="FF006100"/>
      <name val="Calibri"/>
      <family val="2"/>
      <scheme val="minor"/>
    </font>
    <font>
      <sz val="11"/>
      <color rgb="FF3F3F76"/>
      <name val="Calibri"/>
      <family val="2"/>
      <scheme val="minor"/>
    </font>
    <font>
      <sz val="9"/>
      <color indexed="8"/>
      <name val="Arial"/>
      <family val="2"/>
    </font>
    <font>
      <sz val="9"/>
      <color indexed="8"/>
      <name val="Arial"/>
      <family val="2"/>
    </font>
    <font>
      <sz val="10"/>
      <name val="Arial"/>
      <family val="2"/>
    </font>
    <font>
      <sz val="10"/>
      <color theme="0"/>
      <name val="Arial"/>
      <family val="2"/>
    </font>
    <font>
      <b/>
      <sz val="12"/>
      <name val="Arial"/>
      <family val="2"/>
    </font>
    <font>
      <b/>
      <sz val="18"/>
      <color rgb="FF000000"/>
      <name val="Arial"/>
      <family val="2"/>
    </font>
    <font>
      <sz val="11"/>
      <name val="Arial"/>
      <family val="2"/>
    </font>
    <font>
      <b/>
      <sz val="12"/>
      <name val="Calibri"/>
      <family val="2"/>
      <scheme val="minor"/>
    </font>
    <font>
      <sz val="10"/>
      <color rgb="FFC00000"/>
      <name val="Arial"/>
      <family val="2"/>
    </font>
    <font>
      <b/>
      <sz val="11"/>
      <color rgb="FFFA7D00"/>
      <name val="Calibri"/>
      <family val="2"/>
      <scheme val="minor"/>
    </font>
    <font>
      <sz val="10"/>
      <name val="Arial"/>
      <family val="2"/>
    </font>
    <font>
      <b/>
      <sz val="10"/>
      <color theme="9" tint="-0.249977111117893"/>
      <name val="Arial"/>
      <family val="2"/>
    </font>
    <font>
      <b/>
      <sz val="11"/>
      <color theme="9" tint="-0.249977111117893"/>
      <name val="Calibri"/>
      <family val="2"/>
      <scheme val="minor"/>
    </font>
    <font>
      <sz val="10"/>
      <color theme="9" tint="-0.249977111117893"/>
      <name val="Arial"/>
      <family val="2"/>
    </font>
    <font>
      <b/>
      <sz val="14"/>
      <name val="Arial"/>
      <family val="2"/>
    </font>
    <font>
      <b/>
      <sz val="18"/>
      <name val="Arial"/>
      <family val="2"/>
    </font>
    <font>
      <b/>
      <sz val="11"/>
      <color rgb="FF000000"/>
      <name val="Arial"/>
      <family val="2"/>
    </font>
  </fonts>
  <fills count="9">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C99"/>
      </patternFill>
    </fill>
    <fill>
      <patternFill patternType="solid">
        <fgColor theme="7" tint="0.59999389629810485"/>
        <bgColor indexed="65"/>
      </patternFill>
    </fill>
    <fill>
      <patternFill patternType="solid">
        <fgColor theme="0"/>
        <bgColor indexed="64"/>
      </patternFill>
    </fill>
    <fill>
      <patternFill patternType="solid">
        <fgColor rgb="FF66FFFF"/>
        <bgColor indexed="64"/>
      </patternFill>
    </fill>
    <fill>
      <patternFill patternType="solid">
        <fgColor rgb="FFF2F2F2"/>
      </patternFill>
    </fill>
  </fills>
  <borders count="37">
    <border>
      <left/>
      <right/>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
      <left style="thick">
        <color indexed="8"/>
      </left>
      <right style="thick">
        <color indexed="8"/>
      </right>
      <top style="thick">
        <color indexed="8"/>
      </top>
      <bottom/>
      <diagonal/>
    </border>
    <border>
      <left style="thick">
        <color indexed="8"/>
      </left>
      <right style="thin">
        <color indexed="8"/>
      </right>
      <top style="thick">
        <color indexed="8"/>
      </top>
      <bottom style="thin">
        <color indexed="8"/>
      </bottom>
      <diagonal/>
    </border>
    <border>
      <left style="thin">
        <color indexed="8"/>
      </left>
      <right style="thin">
        <color indexed="8"/>
      </right>
      <top style="thick">
        <color indexed="8"/>
      </top>
      <bottom style="thin">
        <color indexed="8"/>
      </bottom>
      <diagonal/>
    </border>
    <border>
      <left style="thin">
        <color indexed="8"/>
      </left>
      <right style="thick">
        <color indexed="8"/>
      </right>
      <top style="thick">
        <color indexed="8"/>
      </top>
      <bottom style="thin">
        <color indexed="8"/>
      </bottom>
      <diagonal/>
    </border>
    <border>
      <left style="thick">
        <color indexed="8"/>
      </left>
      <right style="thick">
        <color indexed="8"/>
      </right>
      <top/>
      <bottom style="thick">
        <color indexed="8"/>
      </bottom>
      <diagonal/>
    </border>
    <border>
      <left style="thick">
        <color indexed="8"/>
      </left>
      <right style="thin">
        <color indexed="8"/>
      </right>
      <top style="thin">
        <color indexed="8"/>
      </top>
      <bottom style="thick">
        <color indexed="8"/>
      </bottom>
      <diagonal/>
    </border>
    <border>
      <left style="thin">
        <color indexed="8"/>
      </left>
      <right style="thin">
        <color indexed="8"/>
      </right>
      <top style="thin">
        <color indexed="8"/>
      </top>
      <bottom style="thick">
        <color indexed="8"/>
      </bottom>
      <diagonal/>
    </border>
    <border>
      <left style="thin">
        <color indexed="8"/>
      </left>
      <right style="thick">
        <color indexed="8"/>
      </right>
      <top style="thin">
        <color indexed="8"/>
      </top>
      <bottom style="thick">
        <color indexed="8"/>
      </bottom>
      <diagonal/>
    </border>
    <border>
      <left style="thick">
        <color indexed="8"/>
      </left>
      <right style="thick">
        <color indexed="8"/>
      </right>
      <top style="thick">
        <color indexed="8"/>
      </top>
      <bottom style="thick">
        <color indexed="8"/>
      </bottom>
      <diagonal/>
    </border>
    <border>
      <left style="thick">
        <color indexed="8"/>
      </left>
      <right style="thin">
        <color indexed="8"/>
      </right>
      <top style="thick">
        <color indexed="8"/>
      </top>
      <bottom style="thick">
        <color indexed="8"/>
      </bottom>
      <diagonal/>
    </border>
    <border>
      <left style="thin">
        <color indexed="8"/>
      </left>
      <right style="thin">
        <color indexed="8"/>
      </right>
      <top style="thick">
        <color indexed="8"/>
      </top>
      <bottom style="thick">
        <color indexed="8"/>
      </bottom>
      <diagonal/>
    </border>
    <border>
      <left style="thin">
        <color indexed="8"/>
      </left>
      <right style="thick">
        <color indexed="8"/>
      </right>
      <top style="thick">
        <color indexed="8"/>
      </top>
      <bottom style="thick">
        <color indexed="8"/>
      </bottom>
      <diagonal/>
    </border>
    <border>
      <left style="thin">
        <color rgb="FF7F7F7F"/>
      </left>
      <right style="thin">
        <color rgb="FF7F7F7F"/>
      </right>
      <top style="thin">
        <color rgb="FF7F7F7F"/>
      </top>
      <bottom style="thin">
        <color rgb="FF7F7F7F"/>
      </bottom>
      <diagonal/>
    </border>
    <border>
      <left/>
      <right style="thin">
        <color indexed="64"/>
      </right>
      <top style="thin">
        <color auto="1"/>
      </top>
      <bottom/>
      <diagonal/>
    </border>
    <border>
      <left style="thin">
        <color indexed="64"/>
      </left>
      <right/>
      <top style="thin">
        <color auto="1"/>
      </top>
      <bottom/>
      <diagonal/>
    </border>
    <border>
      <left/>
      <right/>
      <top style="thin">
        <color auto="1"/>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auto="1"/>
      </bottom>
      <diagonal/>
    </border>
    <border>
      <left/>
      <right style="thin">
        <color indexed="64"/>
      </right>
      <top style="thin">
        <color indexed="64"/>
      </top>
      <bottom style="thin">
        <color auto="1"/>
      </bottom>
      <diagonal/>
    </border>
    <border>
      <left style="thin">
        <color indexed="64"/>
      </left>
      <right/>
      <top style="thin">
        <color auto="1"/>
      </top>
      <bottom style="thin">
        <color auto="1"/>
      </bottom>
      <diagonal/>
    </border>
    <border>
      <left style="thin">
        <color rgb="FF7F7F7F"/>
      </left>
      <right/>
      <top style="thin">
        <color rgb="FF7F7F7F"/>
      </top>
      <bottom style="thin">
        <color indexed="64"/>
      </bottom>
      <diagonal/>
    </border>
    <border>
      <left/>
      <right/>
      <top style="thin">
        <color rgb="FF7F7F7F"/>
      </top>
      <bottom style="thin">
        <color indexed="64"/>
      </bottom>
      <diagonal/>
    </border>
    <border>
      <left/>
      <right style="thin">
        <color rgb="FF7F7F7F"/>
      </right>
      <top style="thin">
        <color rgb="FF7F7F7F"/>
      </top>
      <bottom style="thin">
        <color indexed="64"/>
      </bottom>
      <diagonal/>
    </border>
    <border>
      <left style="thin">
        <color rgb="FF7F7F7F"/>
      </left>
      <right style="thin">
        <color rgb="FF7F7F7F"/>
      </right>
      <top style="thin">
        <color rgb="FF7F7F7F"/>
      </top>
      <bottom style="thin">
        <color indexed="64"/>
      </bottom>
      <diagonal/>
    </border>
    <border>
      <left style="thin">
        <color rgb="FF7F7F7F"/>
      </left>
      <right style="thin">
        <color indexed="64"/>
      </right>
      <top style="thin">
        <color rgb="FF7F7F7F"/>
      </top>
      <bottom style="thin">
        <color indexed="64"/>
      </bottom>
      <diagonal/>
    </border>
  </borders>
  <cellStyleXfs count="11">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13" fillId="3" borderId="0" applyNumberFormat="0" applyBorder="0" applyAlignment="0" applyProtection="0"/>
    <xf numFmtId="0" fontId="14" fillId="4" borderId="21" applyNumberFormat="0" applyAlignment="0" applyProtection="0"/>
    <xf numFmtId="0" fontId="1" fillId="5" borderId="0" applyNumberFormat="0" applyBorder="0" applyAlignment="0" applyProtection="0"/>
    <xf numFmtId="9" fontId="17" fillId="0" borderId="0" applyFont="0" applyFill="0" applyBorder="0" applyAlignment="0" applyProtection="0"/>
    <xf numFmtId="0" fontId="24" fillId="8" borderId="21" applyNumberFormat="0" applyAlignment="0" applyProtection="0"/>
    <xf numFmtId="43" fontId="25" fillId="0" borderId="0" applyFont="0" applyFill="0" applyBorder="0" applyAlignment="0" applyProtection="0"/>
  </cellStyleXfs>
  <cellXfs count="345">
    <xf numFmtId="0" fontId="0" fillId="0" borderId="0" xfId="0"/>
    <xf numFmtId="0" fontId="2" fillId="0" borderId="0" xfId="0" applyFont="1"/>
    <xf numFmtId="0" fontId="2" fillId="0" borderId="0" xfId="0" applyFont="1" applyFill="1"/>
    <xf numFmtId="2" fontId="2" fillId="0" borderId="0" xfId="0" applyNumberFormat="1" applyFont="1" applyFill="1"/>
    <xf numFmtId="164" fontId="2" fillId="0" borderId="0" xfId="0" applyNumberFormat="1" applyFont="1" applyFill="1"/>
    <xf numFmtId="1" fontId="2" fillId="0" borderId="0" xfId="0" applyNumberFormat="1" applyFont="1" applyFill="1"/>
    <xf numFmtId="1" fontId="2" fillId="0" borderId="0" xfId="0" applyNumberFormat="1" applyFont="1"/>
    <xf numFmtId="0" fontId="0" fillId="0" borderId="0" xfId="0" applyAlignment="1">
      <alignment horizontal="center"/>
    </xf>
    <xf numFmtId="1" fontId="0" fillId="0" borderId="0" xfId="0" applyNumberFormat="1" applyAlignment="1">
      <alignment horizontal="center"/>
    </xf>
    <xf numFmtId="0" fontId="0" fillId="0" borderId="0" xfId="0" applyAlignment="1">
      <alignment wrapText="1"/>
    </xf>
    <xf numFmtId="0" fontId="3" fillId="0" borderId="0" xfId="0" applyFont="1" applyAlignment="1">
      <alignment wrapText="1"/>
    </xf>
    <xf numFmtId="0" fontId="3" fillId="0" borderId="0" xfId="0" applyFont="1"/>
    <xf numFmtId="1" fontId="0" fillId="0" borderId="0" xfId="0" applyNumberFormat="1"/>
    <xf numFmtId="0" fontId="5" fillId="0" borderId="0" xfId="0" applyFont="1"/>
    <xf numFmtId="2" fontId="0" fillId="0" borderId="0" xfId="0" applyNumberFormat="1"/>
    <xf numFmtId="0" fontId="2" fillId="0" borderId="1" xfId="0" applyFont="1" applyFill="1" applyBorder="1" applyAlignment="1">
      <alignment vertical="center" wrapText="1"/>
    </xf>
    <xf numFmtId="0" fontId="2" fillId="0" borderId="0" xfId="0" applyFont="1" applyFill="1" applyBorder="1" applyAlignment="1">
      <alignment horizontal="right" vertical="center" wrapText="1"/>
    </xf>
    <xf numFmtId="0" fontId="3" fillId="0" borderId="0" xfId="2"/>
    <xf numFmtId="2" fontId="3" fillId="0" borderId="0" xfId="2" applyNumberFormat="1"/>
    <xf numFmtId="0" fontId="3" fillId="0" borderId="0" xfId="0" applyFont="1" applyAlignment="1">
      <alignment horizontal="center"/>
    </xf>
    <xf numFmtId="0" fontId="3" fillId="0" borderId="0" xfId="0" applyFont="1" applyFill="1" applyBorder="1"/>
    <xf numFmtId="0" fontId="9" fillId="0" borderId="0" xfId="0" applyFont="1" applyAlignment="1">
      <alignment horizontal="center" vertical="center"/>
    </xf>
    <xf numFmtId="0" fontId="10" fillId="0" borderId="0" xfId="0" applyFont="1" applyAlignment="1">
      <alignment vertical="center"/>
    </xf>
    <xf numFmtId="0" fontId="3" fillId="0" borderId="0" xfId="0" applyFont="1" applyAlignment="1"/>
    <xf numFmtId="0" fontId="12" fillId="2" borderId="0" xfId="4" applyFont="1" applyFill="1"/>
    <xf numFmtId="0" fontId="3" fillId="0" borderId="0" xfId="4"/>
    <xf numFmtId="0" fontId="12" fillId="0" borderId="14" xfId="4" applyFont="1" applyBorder="1" applyAlignment="1">
      <alignment horizontal="center" wrapText="1"/>
    </xf>
    <xf numFmtId="0" fontId="12" fillId="0" borderId="15" xfId="4" applyFont="1" applyBorder="1" applyAlignment="1">
      <alignment horizontal="center" wrapText="1"/>
    </xf>
    <xf numFmtId="0" fontId="12" fillId="0" borderId="16" xfId="4" applyFont="1" applyBorder="1" applyAlignment="1">
      <alignment horizontal="center" wrapText="1"/>
    </xf>
    <xf numFmtId="0" fontId="12" fillId="0" borderId="17" xfId="4" applyFont="1" applyBorder="1" applyAlignment="1">
      <alignment horizontal="left" vertical="top" wrapText="1"/>
    </xf>
    <xf numFmtId="166" fontId="12" fillId="0" borderId="18" xfId="4" applyNumberFormat="1" applyFont="1" applyBorder="1" applyAlignment="1">
      <alignment horizontal="right" vertical="center"/>
    </xf>
    <xf numFmtId="167" fontId="12" fillId="0" borderId="19" xfId="4" applyNumberFormat="1" applyFont="1" applyBorder="1" applyAlignment="1">
      <alignment horizontal="right" vertical="center"/>
    </xf>
    <xf numFmtId="168" fontId="12" fillId="0" borderId="19" xfId="4" applyNumberFormat="1" applyFont="1" applyBorder="1" applyAlignment="1">
      <alignment horizontal="right" vertical="center"/>
    </xf>
    <xf numFmtId="166" fontId="12" fillId="0" borderId="19" xfId="4" applyNumberFormat="1" applyFont="1" applyBorder="1" applyAlignment="1">
      <alignment horizontal="right" vertical="center"/>
    </xf>
    <xf numFmtId="166" fontId="12" fillId="0" borderId="20" xfId="4" applyNumberFormat="1" applyFont="1" applyBorder="1" applyAlignment="1">
      <alignment horizontal="right" vertical="center"/>
    </xf>
    <xf numFmtId="0" fontId="0" fillId="0" borderId="0" xfId="0" applyAlignment="1">
      <alignment horizontal="right"/>
    </xf>
    <xf numFmtId="0" fontId="0" fillId="0" borderId="0" xfId="0" applyAlignment="1">
      <alignment horizontal="center"/>
    </xf>
    <xf numFmtId="0" fontId="3" fillId="0" borderId="0" xfId="0" applyFont="1" applyAlignment="1">
      <alignment horizontal="center"/>
    </xf>
    <xf numFmtId="165" fontId="0" fillId="0" borderId="0" xfId="0" applyNumberFormat="1"/>
    <xf numFmtId="0" fontId="13" fillId="3" borderId="0" xfId="5"/>
    <xf numFmtId="2" fontId="13" fillId="3" borderId="0" xfId="5" applyNumberFormat="1"/>
    <xf numFmtId="165" fontId="0" fillId="0" borderId="0" xfId="0" applyNumberFormat="1" applyAlignment="1">
      <alignment horizontal="center"/>
    </xf>
    <xf numFmtId="2" fontId="14" fillId="4" borderId="21" xfId="6" applyNumberFormat="1" applyAlignment="1">
      <alignment horizontal="center"/>
    </xf>
    <xf numFmtId="165" fontId="1" fillId="5" borderId="0" xfId="7" applyNumberFormat="1" applyAlignment="1">
      <alignment horizontal="center"/>
    </xf>
    <xf numFmtId="0" fontId="15" fillId="2" borderId="0" xfId="0" applyFont="1" applyFill="1"/>
    <xf numFmtId="0" fontId="15" fillId="0" borderId="14" xfId="0" applyFont="1" applyBorder="1" applyAlignment="1">
      <alignment horizontal="center" wrapText="1"/>
    </xf>
    <xf numFmtId="0" fontId="15" fillId="0" borderId="15" xfId="0" applyFont="1" applyBorder="1" applyAlignment="1">
      <alignment horizontal="center" wrapText="1"/>
    </xf>
    <xf numFmtId="0" fontId="15" fillId="0" borderId="16" xfId="0" applyFont="1" applyBorder="1" applyAlignment="1">
      <alignment horizontal="center" wrapText="1"/>
    </xf>
    <xf numFmtId="0" fontId="15" fillId="0" borderId="17" xfId="0" applyFont="1" applyBorder="1" applyAlignment="1">
      <alignment horizontal="left" vertical="top" wrapText="1"/>
    </xf>
    <xf numFmtId="166" fontId="15" fillId="0" borderId="18" xfId="0" applyNumberFormat="1" applyFont="1" applyBorder="1" applyAlignment="1">
      <alignment horizontal="right" vertical="center"/>
    </xf>
    <xf numFmtId="167" fontId="15" fillId="0" borderId="19" xfId="0" applyNumberFormat="1" applyFont="1" applyBorder="1" applyAlignment="1">
      <alignment horizontal="right" vertical="center"/>
    </xf>
    <xf numFmtId="168" fontId="15" fillId="0" borderId="19" xfId="0" applyNumberFormat="1" applyFont="1" applyBorder="1" applyAlignment="1">
      <alignment horizontal="right" vertical="center"/>
    </xf>
    <xf numFmtId="166" fontId="15" fillId="0" borderId="19" xfId="0" applyNumberFormat="1" applyFont="1" applyBorder="1" applyAlignment="1">
      <alignment horizontal="right" vertical="center"/>
    </xf>
    <xf numFmtId="166" fontId="15" fillId="0" borderId="20" xfId="0" applyNumberFormat="1" applyFont="1" applyBorder="1" applyAlignment="1">
      <alignment horizontal="right" vertical="center"/>
    </xf>
    <xf numFmtId="2" fontId="13" fillId="3" borderId="0" xfId="5" applyNumberFormat="1" applyAlignment="1">
      <alignment horizontal="center"/>
    </xf>
    <xf numFmtId="169" fontId="0" fillId="0" borderId="0" xfId="0" applyNumberFormat="1"/>
    <xf numFmtId="0" fontId="16" fillId="2" borderId="0" xfId="0" applyFont="1" applyFill="1"/>
    <xf numFmtId="0" fontId="16" fillId="0" borderId="14" xfId="0" applyFont="1" applyBorder="1" applyAlignment="1">
      <alignment horizontal="center" wrapText="1"/>
    </xf>
    <xf numFmtId="0" fontId="16" fillId="0" borderId="15" xfId="0" applyFont="1" applyBorder="1" applyAlignment="1">
      <alignment horizontal="center" wrapText="1"/>
    </xf>
    <xf numFmtId="0" fontId="16" fillId="0" borderId="16" xfId="0" applyFont="1" applyBorder="1" applyAlignment="1">
      <alignment horizontal="center" wrapText="1"/>
    </xf>
    <xf numFmtId="0" fontId="16" fillId="0" borderId="17" xfId="0" applyFont="1" applyBorder="1" applyAlignment="1">
      <alignment horizontal="left" vertical="top" wrapText="1"/>
    </xf>
    <xf numFmtId="166" fontId="16" fillId="0" borderId="18" xfId="0" applyNumberFormat="1" applyFont="1" applyBorder="1" applyAlignment="1">
      <alignment horizontal="right" vertical="center"/>
    </xf>
    <xf numFmtId="167" fontId="16" fillId="0" borderId="19" xfId="0" applyNumberFormat="1" applyFont="1" applyBorder="1" applyAlignment="1">
      <alignment horizontal="right" vertical="center"/>
    </xf>
    <xf numFmtId="168" fontId="16" fillId="0" borderId="19" xfId="0" applyNumberFormat="1" applyFont="1" applyBorder="1" applyAlignment="1">
      <alignment horizontal="right" vertical="center"/>
    </xf>
    <xf numFmtId="166" fontId="16" fillId="0" borderId="19" xfId="0" applyNumberFormat="1" applyFont="1" applyBorder="1" applyAlignment="1">
      <alignment horizontal="right" vertical="center"/>
    </xf>
    <xf numFmtId="166" fontId="16" fillId="0" borderId="20" xfId="0" applyNumberFormat="1" applyFont="1" applyBorder="1" applyAlignment="1">
      <alignment horizontal="right" vertical="center"/>
    </xf>
    <xf numFmtId="0" fontId="3" fillId="0" borderId="0" xfId="0" applyFont="1" applyAlignment="1">
      <alignment horizontal="center"/>
    </xf>
    <xf numFmtId="0" fontId="0" fillId="0" borderId="0" xfId="0" applyAlignment="1">
      <alignment horizontal="center"/>
    </xf>
    <xf numFmtId="0" fontId="3" fillId="0" borderId="0" xfId="2" applyFont="1" applyAlignment="1">
      <alignment vertical="center"/>
    </xf>
    <xf numFmtId="1" fontId="3" fillId="0" borderId="0" xfId="0" applyNumberFormat="1" applyFont="1"/>
    <xf numFmtId="0" fontId="3" fillId="0" borderId="0" xfId="2" applyAlignment="1">
      <alignment horizontal="right"/>
    </xf>
    <xf numFmtId="1" fontId="3" fillId="0" borderId="0" xfId="0" applyNumberFormat="1" applyFont="1" applyAlignment="1">
      <alignment horizontal="right"/>
    </xf>
    <xf numFmtId="2" fontId="3" fillId="0" borderId="0" xfId="2" applyNumberFormat="1" applyAlignment="1">
      <alignment horizontal="right"/>
    </xf>
    <xf numFmtId="165" fontId="13" fillId="3" borderId="0" xfId="5" applyNumberFormat="1" applyAlignment="1">
      <alignment horizontal="center"/>
    </xf>
    <xf numFmtId="2" fontId="0" fillId="0" borderId="0" xfId="0" applyNumberFormat="1" applyAlignment="1">
      <alignment horizontal="center"/>
    </xf>
    <xf numFmtId="1" fontId="13" fillId="3" borderId="0" xfId="5" applyNumberFormat="1" applyAlignment="1">
      <alignment horizontal="center"/>
    </xf>
    <xf numFmtId="1" fontId="14" fillId="4" borderId="21" xfId="6" applyNumberFormat="1" applyAlignment="1">
      <alignment horizontal="center"/>
    </xf>
    <xf numFmtId="0" fontId="0" fillId="0" borderId="0" xfId="0" applyNumberFormat="1"/>
    <xf numFmtId="164" fontId="2" fillId="0" borderId="0" xfId="0" applyNumberFormat="1" applyFont="1" applyFill="1" applyAlignment="1">
      <alignment horizontal="center"/>
    </xf>
    <xf numFmtId="0" fontId="0" fillId="0" borderId="0" xfId="0" applyAlignment="1">
      <alignment horizontal="center"/>
    </xf>
    <xf numFmtId="0" fontId="5" fillId="0" borderId="0" xfId="0" applyFont="1" applyFill="1" applyBorder="1"/>
    <xf numFmtId="0" fontId="4" fillId="0" borderId="0" xfId="0" applyFont="1" applyFill="1" applyBorder="1"/>
    <xf numFmtId="0" fontId="0" fillId="0" borderId="0" xfId="0" applyFill="1"/>
    <xf numFmtId="2" fontId="4" fillId="0" borderId="0" xfId="0" applyNumberFormat="1" applyFont="1" applyFill="1" applyBorder="1"/>
    <xf numFmtId="0" fontId="5" fillId="0" borderId="0" xfId="0" applyFont="1" applyFill="1"/>
    <xf numFmtId="3" fontId="5" fillId="0" borderId="0" xfId="0" applyNumberFormat="1" applyFont="1" applyFill="1"/>
    <xf numFmtId="0" fontId="4" fillId="0" borderId="7" xfId="0" applyFont="1" applyFill="1" applyBorder="1"/>
    <xf numFmtId="0" fontId="0" fillId="0" borderId="7" xfId="0" applyFill="1" applyBorder="1"/>
    <xf numFmtId="0" fontId="3" fillId="0" borderId="7" xfId="0" applyFont="1" applyFill="1" applyBorder="1"/>
    <xf numFmtId="3" fontId="2" fillId="0" borderId="0" xfId="0" applyNumberFormat="1" applyFont="1" applyFill="1" applyBorder="1" applyAlignment="1">
      <alignment vertical="center" wrapText="1"/>
    </xf>
    <xf numFmtId="2" fontId="2" fillId="0" borderId="0" xfId="0" applyNumberFormat="1" applyFont="1" applyFill="1" applyBorder="1" applyAlignment="1">
      <alignment vertical="center" wrapText="1"/>
    </xf>
    <xf numFmtId="0" fontId="10" fillId="0" borderId="0" xfId="0" applyFont="1" applyBorder="1" applyAlignment="1">
      <alignment vertical="center"/>
    </xf>
    <xf numFmtId="0" fontId="9" fillId="0" borderId="0" xfId="0" applyFont="1" applyBorder="1" applyAlignment="1">
      <alignment horizontal="center" vertical="center"/>
    </xf>
    <xf numFmtId="0" fontId="9" fillId="0" borderId="0" xfId="0" applyFont="1" applyBorder="1" applyAlignment="1">
      <alignment horizontal="center" vertical="center" wrapText="1"/>
    </xf>
    <xf numFmtId="0" fontId="3" fillId="0" borderId="0" xfId="0" applyFont="1" applyAlignment="1">
      <alignment vertical="top" wrapText="1"/>
    </xf>
    <xf numFmtId="0" fontId="3" fillId="0" borderId="0" xfId="0" applyFont="1" applyFill="1" applyBorder="1" applyProtection="1">
      <protection locked="0"/>
    </xf>
    <xf numFmtId="0" fontId="5" fillId="0" borderId="0" xfId="0" applyFont="1" applyProtection="1"/>
    <xf numFmtId="0" fontId="0" fillId="0" borderId="0" xfId="0" applyProtection="1"/>
    <xf numFmtId="0" fontId="0" fillId="0" borderId="0" xfId="0" applyAlignment="1" applyProtection="1">
      <alignment horizontal="center"/>
    </xf>
    <xf numFmtId="0" fontId="3" fillId="0" borderId="0" xfId="0" applyFont="1" applyProtection="1"/>
    <xf numFmtId="9" fontId="0" fillId="0" borderId="0" xfId="0" applyNumberFormat="1" applyProtection="1"/>
    <xf numFmtId="0" fontId="5" fillId="0" borderId="0" xfId="0" applyFont="1" applyBorder="1" applyAlignment="1" applyProtection="1">
      <alignment horizontal="center"/>
    </xf>
    <xf numFmtId="0" fontId="5" fillId="0" borderId="0" xfId="0" applyFont="1" applyAlignment="1" applyProtection="1">
      <alignment horizontal="center"/>
    </xf>
    <xf numFmtId="0" fontId="5" fillId="0" borderId="7" xfId="0" applyFont="1" applyBorder="1" applyAlignment="1" applyProtection="1">
      <alignment horizontal="center"/>
    </xf>
    <xf numFmtId="0" fontId="3" fillId="0" borderId="0" xfId="0" applyFont="1" applyAlignment="1" applyProtection="1">
      <alignment horizontal="center"/>
    </xf>
    <xf numFmtId="0" fontId="3" fillId="0" borderId="0" xfId="0" quotePrefix="1" applyFont="1" applyProtection="1"/>
    <xf numFmtId="1" fontId="0" fillId="0" borderId="0" xfId="0" applyNumberFormat="1" applyAlignment="1" applyProtection="1">
      <alignment horizontal="center"/>
    </xf>
    <xf numFmtId="1" fontId="3" fillId="0" borderId="0" xfId="2" applyNumberFormat="1" applyProtection="1"/>
    <xf numFmtId="0" fontId="3" fillId="0" borderId="0" xfId="2" applyAlignment="1" applyProtection="1">
      <alignment horizontal="center"/>
    </xf>
    <xf numFmtId="0" fontId="3" fillId="0" borderId="0" xfId="2" applyProtection="1"/>
    <xf numFmtId="1" fontId="0" fillId="0" borderId="0" xfId="0" applyNumberFormat="1" applyProtection="1"/>
    <xf numFmtId="0" fontId="0" fillId="0" borderId="0" xfId="0" applyFill="1" applyProtection="1"/>
    <xf numFmtId="0" fontId="3" fillId="0" borderId="0" xfId="0" applyFont="1" applyBorder="1" applyProtection="1"/>
    <xf numFmtId="165" fontId="0" fillId="0" borderId="0" xfId="0" applyNumberFormat="1" applyBorder="1" applyAlignment="1" applyProtection="1">
      <alignment horizontal="center"/>
    </xf>
    <xf numFmtId="0" fontId="3" fillId="0" borderId="0" xfId="0" applyFont="1" applyFill="1" applyBorder="1" applyProtection="1"/>
    <xf numFmtId="2" fontId="0" fillId="0" borderId="0" xfId="0" applyNumberFormat="1" applyFill="1" applyAlignment="1" applyProtection="1">
      <alignment horizontal="center"/>
    </xf>
    <xf numFmtId="165" fontId="0" fillId="0" borderId="0" xfId="0" applyNumberFormat="1" applyFill="1" applyBorder="1" applyAlignment="1" applyProtection="1">
      <alignment horizontal="center"/>
    </xf>
    <xf numFmtId="0" fontId="5" fillId="0" borderId="0" xfId="0" applyFont="1" applyAlignment="1" applyProtection="1">
      <alignment vertical="center" wrapText="1"/>
    </xf>
    <xf numFmtId="0" fontId="0" fillId="6" borderId="25" xfId="0" applyFill="1" applyBorder="1"/>
    <xf numFmtId="0" fontId="0" fillId="6" borderId="3" xfId="0" applyFill="1" applyBorder="1"/>
    <xf numFmtId="0" fontId="20" fillId="6" borderId="7" xfId="0" applyFont="1" applyFill="1" applyBorder="1" applyAlignment="1">
      <alignment horizontal="center" vertical="center" readingOrder="1"/>
    </xf>
    <xf numFmtId="0" fontId="0" fillId="6" borderId="4" xfId="0" applyFill="1" applyBorder="1"/>
    <xf numFmtId="0" fontId="0" fillId="6" borderId="1" xfId="0" applyFill="1" applyBorder="1"/>
    <xf numFmtId="0" fontId="0" fillId="6" borderId="0" xfId="0" applyFill="1" applyBorder="1"/>
    <xf numFmtId="0" fontId="0" fillId="6" borderId="0" xfId="0" applyFill="1" applyBorder="1" applyAlignment="1">
      <alignment horizontal="center"/>
    </xf>
    <xf numFmtId="0" fontId="0" fillId="6" borderId="2" xfId="0" applyFill="1" applyBorder="1"/>
    <xf numFmtId="0" fontId="3" fillId="6" borderId="0" xfId="0" applyFont="1" applyFill="1" applyBorder="1"/>
    <xf numFmtId="9" fontId="0" fillId="6" borderId="0" xfId="8" applyFont="1" applyFill="1" applyBorder="1" applyAlignment="1">
      <alignment horizontal="center"/>
    </xf>
    <xf numFmtId="0" fontId="20" fillId="6" borderId="0" xfId="0" applyFont="1" applyFill="1" applyBorder="1" applyAlignment="1">
      <alignment horizontal="center" vertical="center" readingOrder="1"/>
    </xf>
    <xf numFmtId="0" fontId="3" fillId="6" borderId="2" xfId="0" applyFont="1" applyFill="1" applyBorder="1"/>
    <xf numFmtId="0" fontId="18" fillId="6" borderId="0" xfId="0" applyFont="1" applyFill="1" applyBorder="1"/>
    <xf numFmtId="0" fontId="18" fillId="6" borderId="0" xfId="0" applyFont="1" applyFill="1" applyBorder="1" applyAlignment="1">
      <alignment horizontal="center"/>
    </xf>
    <xf numFmtId="0" fontId="18" fillId="6" borderId="7" xfId="0" applyFont="1" applyFill="1" applyBorder="1"/>
    <xf numFmtId="0" fontId="18" fillId="6" borderId="7" xfId="0" applyFont="1" applyFill="1" applyBorder="1" applyAlignment="1">
      <alignment horizontal="center"/>
    </xf>
    <xf numFmtId="0" fontId="5" fillId="6" borderId="0" xfId="0" applyFont="1" applyFill="1"/>
    <xf numFmtId="0" fontId="0" fillId="6" borderId="0" xfId="0" applyFill="1"/>
    <xf numFmtId="0" fontId="3" fillId="6" borderId="0" xfId="0" applyFont="1" applyFill="1"/>
    <xf numFmtId="2" fontId="0" fillId="6" borderId="0" xfId="0" applyNumberFormat="1" applyFill="1"/>
    <xf numFmtId="1" fontId="0" fillId="6" borderId="0" xfId="0" applyNumberFormat="1" applyFill="1"/>
    <xf numFmtId="165" fontId="0" fillId="6" borderId="0" xfId="0" applyNumberFormat="1" applyFill="1"/>
    <xf numFmtId="6" fontId="0" fillId="6" borderId="0" xfId="0" applyNumberFormat="1" applyFill="1"/>
    <xf numFmtId="0" fontId="19" fillId="0" borderId="0" xfId="0" applyFont="1" applyFill="1"/>
    <xf numFmtId="0" fontId="5" fillId="0" borderId="7" xfId="0" applyFont="1" applyFill="1" applyBorder="1"/>
    <xf numFmtId="0" fontId="2" fillId="0" borderId="7" xfId="0" applyFont="1" applyFill="1" applyBorder="1" applyAlignment="1">
      <alignment horizontal="center" vertical="center"/>
    </xf>
    <xf numFmtId="0" fontId="0" fillId="0" borderId="0" xfId="0" applyFill="1" applyAlignment="1">
      <alignment vertical="center"/>
    </xf>
    <xf numFmtId="0" fontId="3" fillId="0" borderId="7" xfId="0" applyFont="1" applyFill="1" applyBorder="1" applyAlignment="1">
      <alignment vertical="center"/>
    </xf>
    <xf numFmtId="0" fontId="3" fillId="0" borderId="0" xfId="0" applyFont="1" applyFill="1" applyAlignment="1">
      <alignment vertical="center"/>
    </xf>
    <xf numFmtId="0" fontId="3" fillId="0" borderId="0" xfId="0" applyFont="1" applyFill="1" applyAlignment="1">
      <alignment horizontal="center" vertical="center"/>
    </xf>
    <xf numFmtId="0" fontId="8" fillId="0" borderId="5" xfId="0" applyFont="1" applyFill="1" applyBorder="1" applyAlignment="1">
      <alignment vertical="center" wrapText="1"/>
    </xf>
    <xf numFmtId="0" fontId="8" fillId="0" borderId="7" xfId="0" applyFont="1" applyFill="1" applyBorder="1" applyAlignment="1">
      <alignment horizontal="right" vertical="center" wrapText="1"/>
    </xf>
    <xf numFmtId="0" fontId="8" fillId="0" borderId="7" xfId="0" applyFont="1" applyFill="1" applyBorder="1" applyAlignment="1">
      <alignment horizontal="center" vertical="center"/>
    </xf>
    <xf numFmtId="0" fontId="8" fillId="0" borderId="6" xfId="0" applyFont="1" applyFill="1" applyBorder="1" applyAlignment="1">
      <alignment horizontal="center" vertical="center" wrapText="1"/>
    </xf>
    <xf numFmtId="0" fontId="8" fillId="0" borderId="8" xfId="0" applyFont="1" applyFill="1" applyBorder="1" applyAlignment="1">
      <alignment horizontal="center" vertical="center"/>
    </xf>
    <xf numFmtId="0" fontId="6" fillId="0" borderId="5" xfId="0" applyFont="1" applyFill="1" applyBorder="1" applyAlignment="1">
      <alignment vertical="center" wrapText="1"/>
    </xf>
    <xf numFmtId="0" fontId="6" fillId="0" borderId="6" xfId="0" applyFont="1" applyFill="1" applyBorder="1" applyAlignment="1">
      <alignment vertical="center" wrapText="1"/>
    </xf>
    <xf numFmtId="0" fontId="6" fillId="0" borderId="6" xfId="0" applyFont="1" applyFill="1" applyBorder="1" applyAlignment="1">
      <alignment horizontal="right" vertical="center" wrapText="1"/>
    </xf>
    <xf numFmtId="0" fontId="0" fillId="0" borderId="8" xfId="0" applyFill="1" applyBorder="1"/>
    <xf numFmtId="2" fontId="2" fillId="0" borderId="0" xfId="0" applyNumberFormat="1" applyFont="1" applyFill="1" applyBorder="1" applyAlignment="1">
      <alignment vertical="center"/>
    </xf>
    <xf numFmtId="3" fontId="2" fillId="0" borderId="2" xfId="0" applyNumberFormat="1" applyFont="1" applyFill="1" applyBorder="1" applyAlignment="1">
      <alignment vertical="center"/>
    </xf>
    <xf numFmtId="0" fontId="2" fillId="0" borderId="0" xfId="0" applyFont="1" applyFill="1" applyBorder="1" applyAlignment="1">
      <alignment vertical="center" wrapText="1"/>
    </xf>
    <xf numFmtId="4" fontId="2" fillId="0" borderId="0" xfId="0" applyNumberFormat="1" applyFont="1" applyFill="1" applyBorder="1" applyAlignment="1">
      <alignment vertical="center" wrapText="1"/>
    </xf>
    <xf numFmtId="1" fontId="2" fillId="0" borderId="0" xfId="0" applyNumberFormat="1" applyFont="1" applyFill="1" applyBorder="1" applyAlignment="1">
      <alignment vertical="center" wrapText="1"/>
    </xf>
    <xf numFmtId="3" fontId="2" fillId="0" borderId="7" xfId="0" applyNumberFormat="1" applyFont="1" applyFill="1" applyBorder="1" applyAlignment="1">
      <alignment vertical="center" wrapText="1"/>
    </xf>
    <xf numFmtId="3" fontId="2" fillId="0" borderId="4" xfId="0" applyNumberFormat="1" applyFont="1" applyFill="1" applyBorder="1" applyAlignment="1">
      <alignment vertical="center"/>
    </xf>
    <xf numFmtId="1" fontId="8" fillId="0" borderId="6" xfId="0" applyNumberFormat="1" applyFont="1" applyFill="1" applyBorder="1" applyAlignment="1">
      <alignment vertical="center" wrapText="1"/>
    </xf>
    <xf numFmtId="3" fontId="8" fillId="0" borderId="7" xfId="0" applyNumberFormat="1" applyFont="1" applyFill="1" applyBorder="1" applyAlignment="1">
      <alignment vertical="center"/>
    </xf>
    <xf numFmtId="3" fontId="8" fillId="0" borderId="8" xfId="0" applyNumberFormat="1" applyFont="1" applyFill="1" applyBorder="1" applyAlignment="1">
      <alignment vertical="center"/>
    </xf>
    <xf numFmtId="0" fontId="8" fillId="0" borderId="7" xfId="0" applyFont="1" applyFill="1" applyBorder="1" applyAlignment="1">
      <alignment vertical="center"/>
    </xf>
    <xf numFmtId="0" fontId="8" fillId="0" borderId="4" xfId="0" applyFont="1" applyFill="1" applyBorder="1" applyAlignment="1">
      <alignment vertical="center"/>
    </xf>
    <xf numFmtId="3" fontId="3" fillId="0" borderId="0" xfId="0" applyNumberFormat="1" applyFont="1" applyFill="1"/>
    <xf numFmtId="9" fontId="2" fillId="0" borderId="0" xfId="0" applyNumberFormat="1" applyFont="1" applyFill="1" applyBorder="1" applyAlignment="1">
      <alignment vertical="center" wrapText="1"/>
    </xf>
    <xf numFmtId="0" fontId="8" fillId="0" borderId="6" xfId="0" applyFont="1" applyFill="1" applyBorder="1" applyAlignment="1">
      <alignment vertical="center" wrapText="1"/>
    </xf>
    <xf numFmtId="3" fontId="8" fillId="0" borderId="6" xfId="0" applyNumberFormat="1" applyFont="1" applyFill="1" applyBorder="1" applyAlignment="1">
      <alignment vertical="center" wrapText="1"/>
    </xf>
    <xf numFmtId="3" fontId="8" fillId="0" borderId="8" xfId="0" applyNumberFormat="1" applyFont="1" applyFill="1" applyBorder="1" applyAlignment="1">
      <alignment vertical="center" wrapText="1"/>
    </xf>
    <xf numFmtId="0" fontId="8" fillId="0" borderId="6" xfId="0" applyFont="1" applyFill="1" applyBorder="1" applyAlignment="1">
      <alignment vertical="center"/>
    </xf>
    <xf numFmtId="0" fontId="8" fillId="0" borderId="3" xfId="0" applyFont="1" applyFill="1" applyBorder="1" applyAlignment="1">
      <alignment vertical="center" wrapText="1"/>
    </xf>
    <xf numFmtId="0" fontId="2" fillId="0" borderId="7" xfId="0" applyFont="1" applyFill="1" applyBorder="1" applyAlignment="1">
      <alignment vertical="center" wrapText="1"/>
    </xf>
    <xf numFmtId="0" fontId="2" fillId="0" borderId="4" xfId="0" applyFont="1" applyFill="1" applyBorder="1" applyAlignment="1">
      <alignment vertical="center"/>
    </xf>
    <xf numFmtId="3" fontId="2" fillId="0" borderId="1" xfId="0" applyNumberFormat="1" applyFont="1" applyFill="1" applyBorder="1" applyAlignment="1">
      <alignment vertical="center" wrapText="1"/>
    </xf>
    <xf numFmtId="3" fontId="2" fillId="0" borderId="0" xfId="0" applyNumberFormat="1" applyFont="1" applyFill="1" applyBorder="1" applyAlignment="1">
      <alignment horizontal="right" vertical="center" wrapText="1"/>
    </xf>
    <xf numFmtId="4" fontId="3" fillId="0" borderId="0" xfId="0" applyNumberFormat="1" applyFont="1" applyFill="1" applyAlignment="1">
      <alignment vertical="center"/>
    </xf>
    <xf numFmtId="3" fontId="2" fillId="0" borderId="0" xfId="0" applyNumberFormat="1" applyFont="1" applyFill="1" applyBorder="1" applyAlignment="1">
      <alignment vertical="center"/>
    </xf>
    <xf numFmtId="3" fontId="2" fillId="0" borderId="3" xfId="0" applyNumberFormat="1" applyFont="1" applyFill="1" applyBorder="1" applyAlignment="1">
      <alignment vertical="center" wrapText="1"/>
    </xf>
    <xf numFmtId="3" fontId="2" fillId="0" borderId="7" xfId="0" applyNumberFormat="1" applyFont="1" applyFill="1" applyBorder="1" applyAlignment="1">
      <alignment horizontal="right" vertical="center" wrapText="1"/>
    </xf>
    <xf numFmtId="4" fontId="2" fillId="0" borderId="7" xfId="0" applyNumberFormat="1" applyFont="1" applyFill="1" applyBorder="1" applyAlignment="1">
      <alignment vertical="center" wrapText="1"/>
    </xf>
    <xf numFmtId="3" fontId="8" fillId="0" borderId="5" xfId="0" applyNumberFormat="1" applyFont="1" applyFill="1" applyBorder="1" applyAlignment="1">
      <alignment vertical="center" wrapText="1"/>
    </xf>
    <xf numFmtId="3" fontId="8" fillId="0" borderId="6" xfId="0" applyNumberFormat="1" applyFont="1" applyFill="1" applyBorder="1" applyAlignment="1">
      <alignment horizontal="right" vertical="center" wrapText="1"/>
    </xf>
    <xf numFmtId="3" fontId="8" fillId="0" borderId="23" xfId="0" applyNumberFormat="1" applyFont="1" applyFill="1" applyBorder="1" applyAlignment="1">
      <alignment horizontal="left" vertical="center" wrapText="1"/>
    </xf>
    <xf numFmtId="170" fontId="2" fillId="0" borderId="0" xfId="8" applyNumberFormat="1" applyFont="1" applyFill="1" applyBorder="1" applyAlignment="1">
      <alignment vertical="center" wrapText="1"/>
    </xf>
    <xf numFmtId="3" fontId="8" fillId="0" borderId="0" xfId="0" applyNumberFormat="1" applyFont="1" applyFill="1" applyBorder="1" applyAlignment="1">
      <alignment vertical="center" wrapText="1"/>
    </xf>
    <xf numFmtId="3" fontId="8" fillId="0" borderId="2" xfId="0" applyNumberFormat="1" applyFont="1" applyFill="1" applyBorder="1" applyAlignment="1">
      <alignment vertical="center"/>
    </xf>
    <xf numFmtId="3" fontId="8" fillId="0" borderId="3" xfId="0" applyNumberFormat="1" applyFont="1" applyFill="1" applyBorder="1" applyAlignment="1">
      <alignment vertical="center" wrapText="1"/>
    </xf>
    <xf numFmtId="3" fontId="2" fillId="0" borderId="7" xfId="0" applyNumberFormat="1" applyFont="1" applyFill="1" applyBorder="1" applyAlignment="1">
      <alignment vertical="center"/>
    </xf>
    <xf numFmtId="3" fontId="8" fillId="0" borderId="7" xfId="0" applyNumberFormat="1" applyFont="1" applyFill="1" applyBorder="1" applyAlignment="1">
      <alignment vertical="center" wrapText="1"/>
    </xf>
    <xf numFmtId="3" fontId="8" fillId="0" borderId="4" xfId="0" applyNumberFormat="1" applyFont="1" applyFill="1" applyBorder="1" applyAlignment="1">
      <alignment vertical="center"/>
    </xf>
    <xf numFmtId="3" fontId="8" fillId="0" borderId="22" xfId="0" applyNumberFormat="1" applyFont="1" applyFill="1" applyBorder="1" applyAlignment="1">
      <alignment vertical="center"/>
    </xf>
    <xf numFmtId="3" fontId="8" fillId="0" borderId="0" xfId="0" applyNumberFormat="1" applyFont="1" applyFill="1" applyBorder="1" applyAlignment="1">
      <alignment horizontal="left" vertical="center" wrapText="1"/>
    </xf>
    <xf numFmtId="3" fontId="8" fillId="0" borderId="0" xfId="0" applyNumberFormat="1" applyFont="1" applyFill="1" applyBorder="1" applyAlignment="1">
      <alignment vertical="center"/>
    </xf>
    <xf numFmtId="0" fontId="3" fillId="0" borderId="0" xfId="0" applyFont="1" applyFill="1"/>
    <xf numFmtId="170" fontId="3" fillId="0" borderId="7" xfId="0" applyNumberFormat="1" applyFont="1" applyFill="1" applyBorder="1" applyProtection="1">
      <protection locked="0"/>
    </xf>
    <xf numFmtId="0" fontId="20" fillId="6" borderId="0" xfId="0" applyFont="1" applyFill="1" applyBorder="1" applyAlignment="1">
      <alignment horizontal="center" wrapText="1" readingOrder="1"/>
    </xf>
    <xf numFmtId="0" fontId="13" fillId="3" borderId="28" xfId="5" applyBorder="1" applyProtection="1">
      <protection locked="0"/>
    </xf>
    <xf numFmtId="9" fontId="13" fillId="3" borderId="28" xfId="5" applyNumberFormat="1" applyBorder="1" applyProtection="1">
      <protection locked="0"/>
    </xf>
    <xf numFmtId="2" fontId="13" fillId="3" borderId="28" xfId="5" applyNumberFormat="1" applyBorder="1" applyAlignment="1" applyProtection="1">
      <alignment horizontal="center"/>
      <protection locked="0"/>
    </xf>
    <xf numFmtId="1" fontId="13" fillId="3" borderId="28" xfId="5" applyNumberFormat="1" applyBorder="1" applyAlignment="1" applyProtection="1">
      <alignment horizontal="center"/>
      <protection locked="0"/>
    </xf>
    <xf numFmtId="2" fontId="13" fillId="3" borderId="28" xfId="5" applyNumberFormat="1" applyBorder="1" applyProtection="1">
      <protection locked="0"/>
    </xf>
    <xf numFmtId="1" fontId="13" fillId="3" borderId="28" xfId="5" applyNumberFormat="1" applyBorder="1" applyProtection="1">
      <protection locked="0"/>
    </xf>
    <xf numFmtId="0" fontId="13" fillId="3" borderId="28" xfId="5" applyBorder="1" applyAlignment="1" applyProtection="1">
      <alignment horizontal="center"/>
      <protection locked="0"/>
    </xf>
    <xf numFmtId="9" fontId="13" fillId="3" borderId="28" xfId="5" applyNumberFormat="1" applyBorder="1" applyAlignment="1" applyProtection="1">
      <alignment horizontal="center"/>
      <protection locked="0"/>
    </xf>
    <xf numFmtId="0" fontId="3" fillId="6" borderId="26" xfId="0" applyFont="1" applyFill="1" applyBorder="1" applyAlignment="1">
      <alignment horizontal="center"/>
    </xf>
    <xf numFmtId="0" fontId="0" fillId="0" borderId="0" xfId="0" applyBorder="1"/>
    <xf numFmtId="0" fontId="21" fillId="0" borderId="0" xfId="0" applyFont="1" applyAlignment="1">
      <alignment vertical="top" wrapText="1"/>
    </xf>
    <xf numFmtId="0" fontId="21" fillId="0" borderId="0" xfId="0" applyFont="1"/>
    <xf numFmtId="0" fontId="4" fillId="0" borderId="0" xfId="0" applyFont="1" applyFill="1" applyBorder="1" applyAlignment="1">
      <alignment vertical="top" wrapText="1"/>
    </xf>
    <xf numFmtId="0" fontId="4" fillId="0" borderId="0" xfId="0" applyFont="1" applyFill="1" applyBorder="1" applyAlignment="1">
      <alignment horizontal="left" vertical="top" wrapText="1"/>
    </xf>
    <xf numFmtId="0" fontId="4" fillId="0" borderId="0" xfId="0" applyFont="1" applyFill="1" applyBorder="1" applyAlignment="1">
      <alignment vertical="top"/>
    </xf>
    <xf numFmtId="0" fontId="0" fillId="0" borderId="7" xfId="0" applyBorder="1"/>
    <xf numFmtId="0" fontId="4" fillId="6" borderId="0" xfId="0" applyFont="1" applyFill="1" applyBorder="1"/>
    <xf numFmtId="0" fontId="4" fillId="6" borderId="0" xfId="0" applyFont="1" applyFill="1" applyBorder="1" applyAlignment="1">
      <alignment wrapText="1"/>
    </xf>
    <xf numFmtId="3" fontId="4" fillId="6" borderId="0" xfId="0" applyNumberFormat="1" applyFont="1" applyFill="1" applyBorder="1" applyAlignment="1">
      <alignment horizontal="center"/>
    </xf>
    <xf numFmtId="0" fontId="23" fillId="0" borderId="0" xfId="0" applyFont="1" applyProtection="1"/>
    <xf numFmtId="9" fontId="4" fillId="7" borderId="0" xfId="8" applyFont="1" applyFill="1" applyBorder="1" applyAlignment="1">
      <alignment horizontal="center"/>
    </xf>
    <xf numFmtId="2" fontId="3" fillId="0" borderId="0" xfId="0" applyNumberFormat="1" applyFont="1"/>
    <xf numFmtId="165" fontId="0" fillId="0" borderId="0" xfId="0" applyNumberFormat="1" applyFill="1" applyBorder="1" applyAlignment="1">
      <alignment horizontal="center"/>
    </xf>
    <xf numFmtId="2" fontId="3" fillId="0" borderId="0" xfId="0" applyNumberFormat="1" applyFont="1" applyFill="1" applyBorder="1" applyAlignment="1">
      <alignment horizontal="center"/>
    </xf>
    <xf numFmtId="2" fontId="3" fillId="0" borderId="0" xfId="0" applyNumberFormat="1" applyFont="1" applyFill="1" applyBorder="1" applyAlignment="1">
      <alignment horizontal="right"/>
    </xf>
    <xf numFmtId="2" fontId="0" fillId="0" borderId="0" xfId="0" applyNumberFormat="1" applyFont="1" applyFill="1" applyBorder="1" applyAlignment="1">
      <alignment horizontal="right"/>
    </xf>
    <xf numFmtId="0" fontId="0" fillId="0" borderId="0" xfId="0" applyProtection="1">
      <protection locked="0"/>
    </xf>
    <xf numFmtId="0" fontId="13" fillId="0" borderId="0" xfId="5" applyFill="1" applyBorder="1" applyProtection="1"/>
    <xf numFmtId="0" fontId="0" fillId="0" borderId="0" xfId="0" applyAlignment="1" applyProtection="1">
      <alignment horizontal="left"/>
    </xf>
    <xf numFmtId="0" fontId="3" fillId="0" borderId="0" xfId="0" applyFont="1" applyAlignment="1">
      <alignment horizontal="left"/>
    </xf>
    <xf numFmtId="1" fontId="3" fillId="0" borderId="0" xfId="0" applyNumberFormat="1" applyFont="1" applyProtection="1"/>
    <xf numFmtId="0" fontId="24" fillId="8" borderId="21" xfId="9"/>
    <xf numFmtId="3" fontId="24" fillId="8" borderId="21" xfId="9" applyNumberFormat="1"/>
    <xf numFmtId="171" fontId="4" fillId="6" borderId="0" xfId="10" applyNumberFormat="1" applyFont="1" applyFill="1" applyBorder="1" applyAlignment="1">
      <alignment horizontal="center"/>
    </xf>
    <xf numFmtId="0" fontId="28" fillId="6" borderId="0" xfId="0" applyFont="1" applyFill="1"/>
    <xf numFmtId="0" fontId="8" fillId="0" borderId="3" xfId="0" applyFont="1" applyFill="1" applyBorder="1" applyAlignment="1">
      <alignment vertical="center" wrapText="1"/>
    </xf>
    <xf numFmtId="0" fontId="2" fillId="0" borderId="7" xfId="0" applyFont="1" applyFill="1" applyBorder="1" applyAlignment="1">
      <alignment vertical="center" wrapText="1"/>
    </xf>
    <xf numFmtId="0" fontId="0" fillId="0" borderId="0" xfId="0" applyFill="1" applyBorder="1"/>
    <xf numFmtId="0" fontId="29" fillId="6" borderId="0" xfId="0" applyFont="1" applyFill="1"/>
    <xf numFmtId="0" fontId="6" fillId="0" borderId="31" xfId="0" applyFont="1" applyFill="1" applyBorder="1" applyAlignment="1">
      <alignment vertical="center" wrapText="1"/>
    </xf>
    <xf numFmtId="0" fontId="6" fillId="0" borderId="29" xfId="0" applyFont="1" applyFill="1" applyBorder="1" applyAlignment="1">
      <alignment vertical="center" wrapText="1"/>
    </xf>
    <xf numFmtId="0" fontId="6" fillId="0" borderId="29" xfId="0" applyFont="1" applyFill="1" applyBorder="1" applyAlignment="1">
      <alignment horizontal="right" vertical="center" wrapText="1"/>
    </xf>
    <xf numFmtId="0" fontId="0" fillId="0" borderId="30" xfId="0" applyFill="1" applyBorder="1"/>
    <xf numFmtId="1" fontId="8" fillId="0" borderId="29" xfId="0" applyNumberFormat="1" applyFont="1" applyFill="1" applyBorder="1" applyAlignment="1">
      <alignment vertical="center" wrapText="1"/>
    </xf>
    <xf numFmtId="3" fontId="8" fillId="0" borderId="30" xfId="0" applyNumberFormat="1" applyFont="1" applyFill="1" applyBorder="1" applyAlignment="1">
      <alignment vertical="center"/>
    </xf>
    <xf numFmtId="3" fontId="3" fillId="0" borderId="0" xfId="0" applyNumberFormat="1" applyFont="1" applyFill="1" applyBorder="1"/>
    <xf numFmtId="0" fontId="8" fillId="0" borderId="29" xfId="0" applyFont="1" applyFill="1" applyBorder="1" applyAlignment="1">
      <alignment vertical="center" wrapText="1"/>
    </xf>
    <xf numFmtId="3" fontId="8" fillId="0" borderId="29" xfId="0" applyNumberFormat="1" applyFont="1" applyFill="1" applyBorder="1" applyAlignment="1">
      <alignment vertical="center" wrapText="1"/>
    </xf>
    <xf numFmtId="3" fontId="8" fillId="0" borderId="30" xfId="0" applyNumberFormat="1" applyFont="1" applyFill="1" applyBorder="1" applyAlignment="1">
      <alignment vertical="center" wrapText="1"/>
    </xf>
    <xf numFmtId="0" fontId="8" fillId="0" borderId="29" xfId="0" applyFont="1" applyFill="1" applyBorder="1" applyAlignment="1">
      <alignment vertical="center"/>
    </xf>
    <xf numFmtId="4" fontId="3" fillId="0" borderId="0" xfId="0" applyNumberFormat="1" applyFont="1" applyFill="1" applyBorder="1" applyAlignment="1">
      <alignment vertical="center"/>
    </xf>
    <xf numFmtId="3" fontId="8" fillId="0" borderId="31" xfId="0" applyNumberFormat="1" applyFont="1" applyFill="1" applyBorder="1" applyAlignment="1">
      <alignment vertical="center" wrapText="1"/>
    </xf>
    <xf numFmtId="3" fontId="8" fillId="0" borderId="29" xfId="0" applyNumberFormat="1" applyFont="1" applyFill="1" applyBorder="1" applyAlignment="1">
      <alignment horizontal="right" vertical="center" wrapText="1"/>
    </xf>
    <xf numFmtId="3" fontId="8" fillId="0" borderId="25" xfId="0" applyNumberFormat="1" applyFont="1" applyFill="1" applyBorder="1" applyAlignment="1">
      <alignment horizontal="left" vertical="center" wrapText="1"/>
    </xf>
    <xf numFmtId="3" fontId="8" fillId="0" borderId="27" xfId="0" applyNumberFormat="1" applyFont="1" applyFill="1" applyBorder="1" applyAlignment="1">
      <alignment vertical="center"/>
    </xf>
    <xf numFmtId="3" fontId="8" fillId="0" borderId="1" xfId="0" applyNumberFormat="1" applyFont="1" applyFill="1" applyBorder="1" applyAlignment="1">
      <alignment horizontal="left" vertical="center" wrapText="1"/>
    </xf>
    <xf numFmtId="0" fontId="5" fillId="0" borderId="1" xfId="0" applyFont="1" applyFill="1" applyBorder="1"/>
    <xf numFmtId="0" fontId="0" fillId="0" borderId="2" xfId="0" applyFill="1" applyBorder="1"/>
    <xf numFmtId="0" fontId="3" fillId="0" borderId="1" xfId="0" applyFont="1" applyFill="1" applyBorder="1"/>
    <xf numFmtId="0" fontId="0" fillId="0" borderId="4" xfId="0" applyFill="1" applyBorder="1"/>
    <xf numFmtId="3" fontId="5" fillId="0" borderId="0" xfId="0" applyNumberFormat="1" applyFont="1" applyFill="1" applyBorder="1"/>
    <xf numFmtId="3" fontId="5" fillId="0" borderId="2" xfId="0" applyNumberFormat="1" applyFont="1" applyFill="1" applyBorder="1"/>
    <xf numFmtId="0" fontId="26" fillId="6" borderId="3" xfId="0" applyFont="1" applyFill="1" applyBorder="1"/>
    <xf numFmtId="0" fontId="27" fillId="8" borderId="32" xfId="9" applyFont="1" applyBorder="1" applyAlignment="1">
      <alignment horizontal="left"/>
    </xf>
    <xf numFmtId="0" fontId="27" fillId="8" borderId="33" xfId="9" applyFont="1" applyBorder="1" applyAlignment="1">
      <alignment horizontal="left"/>
    </xf>
    <xf numFmtId="0" fontId="27" fillId="8" borderId="34" xfId="9" applyFont="1" applyBorder="1" applyAlignment="1">
      <alignment horizontal="left"/>
    </xf>
    <xf numFmtId="3" fontId="27" fillId="8" borderId="35" xfId="9" applyNumberFormat="1" applyFont="1" applyBorder="1"/>
    <xf numFmtId="3" fontId="27" fillId="8" borderId="36" xfId="9" applyNumberFormat="1" applyFont="1" applyBorder="1"/>
    <xf numFmtId="0" fontId="30" fillId="6" borderId="0" xfId="0" applyFont="1" applyFill="1" applyBorder="1" applyAlignment="1">
      <alignment horizontal="center"/>
    </xf>
    <xf numFmtId="0" fontId="3" fillId="6" borderId="27" xfId="0" applyFont="1" applyFill="1" applyBorder="1" applyAlignment="1">
      <alignment horizontal="center"/>
    </xf>
    <xf numFmtId="0" fontId="30" fillId="6" borderId="2" xfId="0" applyFont="1" applyFill="1" applyBorder="1" applyAlignment="1">
      <alignment horizontal="center"/>
    </xf>
    <xf numFmtId="0" fontId="20" fillId="6" borderId="4" xfId="0" applyFont="1" applyFill="1" applyBorder="1" applyAlignment="1">
      <alignment horizontal="center" vertical="center" readingOrder="1"/>
    </xf>
    <xf numFmtId="0" fontId="8" fillId="0" borderId="7" xfId="0" applyFont="1" applyFill="1" applyBorder="1" applyAlignment="1">
      <alignment horizontal="center" vertical="center" wrapText="1"/>
    </xf>
    <xf numFmtId="0" fontId="8" fillId="0" borderId="4" xfId="0" applyFont="1" applyFill="1" applyBorder="1" applyAlignment="1">
      <alignment horizontal="center" vertical="center"/>
    </xf>
    <xf numFmtId="0" fontId="0" fillId="0" borderId="25" xfId="0" applyBorder="1"/>
    <xf numFmtId="0" fontId="0" fillId="0" borderId="26" xfId="0" applyBorder="1"/>
    <xf numFmtId="0" fontId="0" fillId="0" borderId="27" xfId="0" applyBorder="1"/>
    <xf numFmtId="0" fontId="0" fillId="0" borderId="1" xfId="0" applyBorder="1"/>
    <xf numFmtId="0" fontId="0" fillId="0" borderId="2" xfId="0" applyBorder="1"/>
    <xf numFmtId="0" fontId="0" fillId="0" borderId="3" xfId="0" applyBorder="1"/>
    <xf numFmtId="0" fontId="0" fillId="0" borderId="4" xfId="0" applyBorder="1"/>
    <xf numFmtId="0" fontId="19" fillId="0" borderId="1" xfId="0" applyFont="1" applyBorder="1"/>
    <xf numFmtId="0" fontId="0" fillId="0" borderId="28" xfId="0" applyBorder="1" applyAlignment="1">
      <alignment horizontal="center"/>
    </xf>
    <xf numFmtId="165" fontId="3" fillId="0" borderId="28" xfId="0" applyNumberFormat="1" applyFont="1" applyBorder="1" applyAlignment="1">
      <alignment horizontal="center"/>
    </xf>
    <xf numFmtId="0" fontId="3" fillId="0" borderId="28" xfId="0" applyFont="1" applyBorder="1" applyProtection="1"/>
    <xf numFmtId="0" fontId="3" fillId="0" borderId="28" xfId="0" applyFont="1" applyBorder="1" applyAlignment="1" applyProtection="1">
      <alignment horizontal="center" vertical="center" wrapText="1"/>
    </xf>
    <xf numFmtId="8" fontId="0" fillId="6" borderId="0" xfId="0" applyNumberFormat="1" applyFill="1"/>
    <xf numFmtId="3" fontId="0" fillId="6" borderId="0" xfId="0" applyNumberFormat="1" applyFill="1"/>
    <xf numFmtId="165" fontId="2" fillId="0" borderId="0" xfId="0" applyNumberFormat="1" applyFont="1" applyFill="1" applyBorder="1" applyAlignment="1">
      <alignment vertical="center"/>
    </xf>
    <xf numFmtId="0" fontId="3" fillId="0" borderId="0" xfId="2" applyFill="1"/>
    <xf numFmtId="0" fontId="3" fillId="0" borderId="0" xfId="2" applyFont="1"/>
    <xf numFmtId="2" fontId="0" fillId="0" borderId="0" xfId="0" applyNumberFormat="1" applyAlignment="1">
      <alignment horizontal="right"/>
    </xf>
    <xf numFmtId="9" fontId="0" fillId="0" borderId="0" xfId="8" applyFont="1" applyAlignment="1">
      <alignment horizontal="center"/>
    </xf>
    <xf numFmtId="0" fontId="3" fillId="0" borderId="0" xfId="0" applyFont="1" applyAlignment="1" applyProtection="1">
      <alignment wrapText="1"/>
    </xf>
    <xf numFmtId="172" fontId="3" fillId="0" borderId="0" xfId="0" applyNumberFormat="1" applyFont="1" applyProtection="1"/>
    <xf numFmtId="2" fontId="3" fillId="0" borderId="0" xfId="2" applyNumberFormat="1" applyFont="1" applyAlignment="1">
      <alignment horizontal="right"/>
    </xf>
    <xf numFmtId="2" fontId="3" fillId="0" borderId="0" xfId="2" applyNumberFormat="1" applyFont="1"/>
    <xf numFmtId="0" fontId="4" fillId="0" borderId="25" xfId="0" applyFont="1" applyFill="1" applyBorder="1" applyAlignment="1">
      <alignment horizontal="left" vertical="top" wrapText="1"/>
    </xf>
    <xf numFmtId="0" fontId="4" fillId="0" borderId="26" xfId="0" applyFont="1" applyFill="1" applyBorder="1" applyAlignment="1">
      <alignment horizontal="left" vertical="top" wrapText="1"/>
    </xf>
    <xf numFmtId="0" fontId="4" fillId="0" borderId="27" xfId="0" applyFont="1" applyFill="1" applyBorder="1" applyAlignment="1">
      <alignment horizontal="left" vertical="top" wrapText="1"/>
    </xf>
    <xf numFmtId="0" fontId="4" fillId="0" borderId="1" xfId="0" applyFont="1" applyFill="1" applyBorder="1" applyAlignment="1">
      <alignment horizontal="left" vertical="top" wrapText="1"/>
    </xf>
    <xf numFmtId="0" fontId="4" fillId="0" borderId="0" xfId="0" applyFont="1" applyFill="1" applyBorder="1" applyAlignment="1">
      <alignment horizontal="left" vertical="top" wrapText="1"/>
    </xf>
    <xf numFmtId="0" fontId="4" fillId="0" borderId="2" xfId="0" applyFont="1" applyFill="1" applyBorder="1" applyAlignment="1">
      <alignment horizontal="left" vertical="top" wrapText="1"/>
    </xf>
    <xf numFmtId="0" fontId="22" fillId="0" borderId="1" xfId="0" applyFont="1" applyFill="1" applyBorder="1" applyAlignment="1">
      <alignment horizontal="left" vertical="top" wrapText="1"/>
    </xf>
    <xf numFmtId="0" fontId="22" fillId="0" borderId="0" xfId="0" applyFont="1" applyFill="1" applyBorder="1" applyAlignment="1">
      <alignment horizontal="left" vertical="top" wrapText="1"/>
    </xf>
    <xf numFmtId="0" fontId="22" fillId="0" borderId="2" xfId="0" applyFont="1" applyFill="1" applyBorder="1" applyAlignment="1">
      <alignment horizontal="left" vertical="top" wrapText="1"/>
    </xf>
    <xf numFmtId="0" fontId="22" fillId="0" borderId="3" xfId="0" applyFont="1" applyFill="1" applyBorder="1" applyAlignment="1">
      <alignment horizontal="left" vertical="top" wrapText="1"/>
    </xf>
    <xf numFmtId="0" fontId="22" fillId="0" borderId="7" xfId="0" applyFont="1" applyFill="1" applyBorder="1" applyAlignment="1">
      <alignment horizontal="left" vertical="top" wrapText="1"/>
    </xf>
    <xf numFmtId="0" fontId="22" fillId="0" borderId="4" xfId="0" applyFont="1" applyFill="1" applyBorder="1" applyAlignment="1">
      <alignment horizontal="left" vertical="top" wrapText="1"/>
    </xf>
    <xf numFmtId="0" fontId="5" fillId="0" borderId="0" xfId="0" applyFont="1" applyBorder="1" applyAlignment="1" applyProtection="1">
      <alignment horizontal="center"/>
    </xf>
    <xf numFmtId="0" fontId="3" fillId="0" borderId="28" xfId="0" applyFont="1" applyBorder="1" applyAlignment="1" applyProtection="1">
      <alignment horizontal="center"/>
    </xf>
    <xf numFmtId="3" fontId="8" fillId="0" borderId="25" xfId="0" applyNumberFormat="1" applyFont="1" applyFill="1" applyBorder="1" applyAlignment="1">
      <alignment horizontal="left" vertical="center" wrapText="1"/>
    </xf>
    <xf numFmtId="3" fontId="8" fillId="0" borderId="26" xfId="0" applyNumberFormat="1" applyFont="1" applyFill="1" applyBorder="1" applyAlignment="1">
      <alignment horizontal="left" vertical="center" wrapText="1"/>
    </xf>
    <xf numFmtId="0" fontId="8" fillId="0" borderId="31" xfId="0" applyFont="1" applyFill="1" applyBorder="1" applyAlignment="1">
      <alignment vertical="center" wrapText="1"/>
    </xf>
    <xf numFmtId="0" fontId="8" fillId="0" borderId="29" xfId="0" applyFont="1" applyFill="1" applyBorder="1" applyAlignment="1">
      <alignment vertical="center" wrapText="1"/>
    </xf>
    <xf numFmtId="0" fontId="8" fillId="0" borderId="3" xfId="0" applyFont="1" applyFill="1" applyBorder="1" applyAlignment="1">
      <alignment vertical="center" wrapText="1"/>
    </xf>
    <xf numFmtId="0" fontId="8" fillId="0" borderId="7" xfId="0" applyFont="1" applyFill="1" applyBorder="1" applyAlignment="1">
      <alignment vertical="center" wrapText="1"/>
    </xf>
    <xf numFmtId="0" fontId="2" fillId="0" borderId="7" xfId="0" applyFont="1" applyFill="1" applyBorder="1" applyAlignment="1">
      <alignment vertical="center" wrapText="1"/>
    </xf>
    <xf numFmtId="3" fontId="8" fillId="0" borderId="23" xfId="0" applyNumberFormat="1" applyFont="1" applyFill="1" applyBorder="1" applyAlignment="1">
      <alignment horizontal="left" vertical="center" wrapText="1"/>
    </xf>
    <xf numFmtId="3" fontId="8" fillId="0" borderId="24" xfId="0" applyNumberFormat="1" applyFont="1" applyFill="1" applyBorder="1" applyAlignment="1">
      <alignment horizontal="left" vertical="center" wrapText="1"/>
    </xf>
    <xf numFmtId="0" fontId="8" fillId="0" borderId="5" xfId="0" applyFont="1" applyFill="1" applyBorder="1" applyAlignment="1">
      <alignment vertical="center" wrapText="1"/>
    </xf>
    <xf numFmtId="0" fontId="8" fillId="0" borderId="6" xfId="0" applyFont="1" applyFill="1" applyBorder="1" applyAlignment="1">
      <alignment vertical="center" wrapText="1"/>
    </xf>
    <xf numFmtId="0" fontId="11" fillId="0" borderId="0" xfId="4" applyFont="1" applyBorder="1" applyAlignment="1">
      <alignment horizontal="center" vertical="center" wrapText="1"/>
    </xf>
    <xf numFmtId="0" fontId="12" fillId="0" borderId="9" xfId="4" applyFont="1" applyBorder="1" applyAlignment="1">
      <alignment horizontal="left" wrapText="1"/>
    </xf>
    <xf numFmtId="0" fontId="12" fillId="0" borderId="13" xfId="4" applyFont="1" applyBorder="1" applyAlignment="1">
      <alignment horizontal="left" wrapText="1"/>
    </xf>
    <xf numFmtId="0" fontId="12" fillId="0" borderId="10" xfId="4" applyFont="1" applyBorder="1" applyAlignment="1">
      <alignment horizontal="center" wrapText="1"/>
    </xf>
    <xf numFmtId="0" fontId="12" fillId="0" borderId="11" xfId="4" applyFont="1" applyBorder="1" applyAlignment="1">
      <alignment horizontal="center" wrapText="1"/>
    </xf>
    <xf numFmtId="0" fontId="12" fillId="0" borderId="12" xfId="4" applyFont="1" applyBorder="1" applyAlignment="1">
      <alignment horizontal="center" wrapText="1"/>
    </xf>
    <xf numFmtId="0" fontId="9" fillId="0" borderId="0" xfId="0" applyFont="1" applyAlignment="1">
      <alignment horizontal="center" vertical="center"/>
    </xf>
    <xf numFmtId="0" fontId="9" fillId="0" borderId="0" xfId="0" applyFont="1" applyAlignment="1">
      <alignment horizontal="center" vertical="center" wrapText="1"/>
    </xf>
    <xf numFmtId="0" fontId="10" fillId="0" borderId="0" xfId="0" applyFont="1" applyAlignment="1">
      <alignment horizontal="center" vertical="center"/>
    </xf>
    <xf numFmtId="0" fontId="11" fillId="0" borderId="0" xfId="0" applyFont="1" applyBorder="1" applyAlignment="1">
      <alignment horizontal="center" vertical="center" wrapText="1"/>
    </xf>
    <xf numFmtId="0" fontId="16" fillId="0" borderId="9" xfId="0" applyFont="1" applyBorder="1" applyAlignment="1">
      <alignment horizontal="left" wrapText="1"/>
    </xf>
    <xf numFmtId="0" fontId="16" fillId="0" borderId="13" xfId="0" applyFont="1" applyBorder="1" applyAlignment="1">
      <alignment horizontal="left" wrapText="1"/>
    </xf>
    <xf numFmtId="0" fontId="16" fillId="0" borderId="10" xfId="0" applyFont="1" applyBorder="1" applyAlignment="1">
      <alignment horizontal="center" wrapText="1"/>
    </xf>
    <xf numFmtId="0" fontId="16" fillId="0" borderId="11" xfId="0" applyFont="1" applyBorder="1" applyAlignment="1">
      <alignment horizontal="center" wrapText="1"/>
    </xf>
    <xf numFmtId="0" fontId="16" fillId="0" borderId="12" xfId="0" applyFont="1" applyBorder="1" applyAlignment="1">
      <alignment horizontal="center" wrapText="1"/>
    </xf>
    <xf numFmtId="0" fontId="16" fillId="0" borderId="0" xfId="0" applyFont="1" applyBorder="1" applyAlignment="1">
      <alignment horizontal="left" vertical="top" wrapText="1"/>
    </xf>
    <xf numFmtId="0" fontId="15" fillId="0" borderId="9" xfId="0" applyFont="1" applyBorder="1" applyAlignment="1">
      <alignment horizontal="left" wrapText="1"/>
    </xf>
    <xf numFmtId="0" fontId="15" fillId="0" borderId="13" xfId="0" applyFont="1" applyBorder="1" applyAlignment="1">
      <alignment horizontal="left" wrapText="1"/>
    </xf>
    <xf numFmtId="0" fontId="15" fillId="0" borderId="10" xfId="0" applyFont="1" applyBorder="1" applyAlignment="1">
      <alignment horizontal="center" wrapText="1"/>
    </xf>
    <xf numFmtId="0" fontId="15" fillId="0" borderId="11" xfId="0" applyFont="1" applyBorder="1" applyAlignment="1">
      <alignment horizontal="center" wrapText="1"/>
    </xf>
    <xf numFmtId="0" fontId="15" fillId="0" borderId="12" xfId="0" applyFont="1" applyBorder="1" applyAlignment="1">
      <alignment horizontal="center" wrapText="1"/>
    </xf>
    <xf numFmtId="0" fontId="15" fillId="0" borderId="0" xfId="0" applyFont="1" applyBorder="1" applyAlignment="1">
      <alignment horizontal="left" vertical="top" wrapText="1"/>
    </xf>
  </cellXfs>
  <cellStyles count="11">
    <cellStyle name="40% - Accent4" xfId="7" builtinId="43"/>
    <cellStyle name="Calculation" xfId="9" builtinId="22"/>
    <cellStyle name="Comma" xfId="10" builtinId="3"/>
    <cellStyle name="Good" xfId="5" builtinId="26"/>
    <cellStyle name="Input" xfId="6" builtinId="20"/>
    <cellStyle name="Normaali 2" xfId="2"/>
    <cellStyle name="Normaali_Taul2" xfId="4"/>
    <cellStyle name="Normal" xfId="0" builtinId="0"/>
    <cellStyle name="Percent" xfId="8" builtinId="5"/>
    <cellStyle name="Prosenttia 2" xfId="3"/>
    <cellStyle name="Standard 10" xfId="1"/>
  </cellStyles>
  <dxfs count="0"/>
  <tableStyles count="0" defaultTableStyle="TableStyleMedium9" defaultPivotStyle="PivotStyleLight16"/>
  <colors>
    <mruColors>
      <color rgb="FF66FFFF"/>
      <color rgb="FF99FFC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9.5075896548659208E-2"/>
          <c:y val="0.27247006224694592"/>
          <c:w val="0.88377085627648033"/>
          <c:h val="0.56566376198782919"/>
        </c:manualLayout>
      </c:layout>
      <c:lineChart>
        <c:grouping val="standard"/>
        <c:varyColors val="0"/>
        <c:ser>
          <c:idx val="0"/>
          <c:order val="0"/>
          <c:tx>
            <c:strRef>
              <c:f>Laskenta!$K$77</c:f>
              <c:strCache>
                <c:ptCount val="1"/>
                <c:pt idx="0">
                  <c:v>Todennäköisyys, että kate (rakennuksen ja koneiden poistolle ja korolle) on suurempi kuin</c:v>
                </c:pt>
              </c:strCache>
            </c:strRef>
          </c:tx>
          <c:marker>
            <c:symbol val="none"/>
          </c:marker>
          <c:cat>
            <c:numRef>
              <c:f>Laskenta!$I$78:$I$127</c:f>
              <c:numCache>
                <c:formatCode>0</c:formatCode>
                <c:ptCount val="50"/>
                <c:pt idx="0">
                  <c:v>1553.0598492012507</c:v>
                </c:pt>
                <c:pt idx="1">
                  <c:v>1521.050351036163</c:v>
                </c:pt>
                <c:pt idx="2">
                  <c:v>1489.0408528710752</c:v>
                </c:pt>
                <c:pt idx="3">
                  <c:v>1457.0313547059875</c:v>
                </c:pt>
                <c:pt idx="4">
                  <c:v>1425.0218565408998</c:v>
                </c:pt>
                <c:pt idx="5">
                  <c:v>1393.012358375812</c:v>
                </c:pt>
                <c:pt idx="6">
                  <c:v>1361.0028602107243</c:v>
                </c:pt>
                <c:pt idx="7">
                  <c:v>1328.9933620456366</c:v>
                </c:pt>
                <c:pt idx="8">
                  <c:v>1296.9838638805488</c:v>
                </c:pt>
                <c:pt idx="9">
                  <c:v>1264.9743657154611</c:v>
                </c:pt>
                <c:pt idx="10">
                  <c:v>1232.9648675503734</c:v>
                </c:pt>
                <c:pt idx="11">
                  <c:v>1200.9553693852856</c:v>
                </c:pt>
                <c:pt idx="12">
                  <c:v>1168.9458712201979</c:v>
                </c:pt>
                <c:pt idx="13">
                  <c:v>1136.9363730551102</c:v>
                </c:pt>
                <c:pt idx="14">
                  <c:v>1104.9268748900224</c:v>
                </c:pt>
                <c:pt idx="15">
                  <c:v>1072.9173767249347</c:v>
                </c:pt>
                <c:pt idx="16">
                  <c:v>1040.9078785598469</c:v>
                </c:pt>
                <c:pt idx="17">
                  <c:v>1008.8983803947592</c:v>
                </c:pt>
                <c:pt idx="18">
                  <c:v>976.88888222967148</c:v>
                </c:pt>
                <c:pt idx="19">
                  <c:v>944.87938406458375</c:v>
                </c:pt>
                <c:pt idx="20">
                  <c:v>912.86988589949601</c:v>
                </c:pt>
                <c:pt idx="21">
                  <c:v>880.86038773440828</c:v>
                </c:pt>
                <c:pt idx="22">
                  <c:v>848.85088956932054</c:v>
                </c:pt>
                <c:pt idx="23">
                  <c:v>816.84139140423281</c:v>
                </c:pt>
                <c:pt idx="24">
                  <c:v>784.83189323914507</c:v>
                </c:pt>
                <c:pt idx="25">
                  <c:v>752.82239507405734</c:v>
                </c:pt>
                <c:pt idx="26">
                  <c:v>720.81289690896961</c:v>
                </c:pt>
                <c:pt idx="27">
                  <c:v>688.80339874388187</c:v>
                </c:pt>
                <c:pt idx="28">
                  <c:v>656.79390057879414</c:v>
                </c:pt>
                <c:pt idx="29">
                  <c:v>624.7844024137064</c:v>
                </c:pt>
                <c:pt idx="30">
                  <c:v>592.77490424861867</c:v>
                </c:pt>
                <c:pt idx="31">
                  <c:v>560.76540608353093</c:v>
                </c:pt>
                <c:pt idx="32">
                  <c:v>528.7559079184432</c:v>
                </c:pt>
                <c:pt idx="33">
                  <c:v>496.74640975335546</c:v>
                </c:pt>
                <c:pt idx="34">
                  <c:v>464.73691158826773</c:v>
                </c:pt>
                <c:pt idx="35">
                  <c:v>432.72741342318</c:v>
                </c:pt>
                <c:pt idx="36">
                  <c:v>400.71791525809226</c:v>
                </c:pt>
                <c:pt idx="37">
                  <c:v>368.70841709300453</c:v>
                </c:pt>
                <c:pt idx="38">
                  <c:v>336.69891892791679</c:v>
                </c:pt>
                <c:pt idx="39">
                  <c:v>304.68942076282906</c:v>
                </c:pt>
                <c:pt idx="40">
                  <c:v>272.67992259774132</c:v>
                </c:pt>
                <c:pt idx="41">
                  <c:v>240.67042443265362</c:v>
                </c:pt>
                <c:pt idx="42">
                  <c:v>208.66092626756591</c:v>
                </c:pt>
                <c:pt idx="43">
                  <c:v>176.65142810247821</c:v>
                </c:pt>
                <c:pt idx="44">
                  <c:v>144.6419299373905</c:v>
                </c:pt>
                <c:pt idx="45">
                  <c:v>112.63243177230279</c:v>
                </c:pt>
                <c:pt idx="46">
                  <c:v>80.622933607215089</c:v>
                </c:pt>
                <c:pt idx="47">
                  <c:v>48.613435442127376</c:v>
                </c:pt>
                <c:pt idx="48">
                  <c:v>16.603937277039662</c:v>
                </c:pt>
                <c:pt idx="49">
                  <c:v>-15.405560888047319</c:v>
                </c:pt>
              </c:numCache>
            </c:numRef>
          </c:cat>
          <c:val>
            <c:numRef>
              <c:f>Laskenta!$K$78:$K$127</c:f>
              <c:numCache>
                <c:formatCode>0\,0000</c:formatCode>
                <c:ptCount val="50"/>
                <c:pt idx="0">
                  <c:v>0</c:v>
                </c:pt>
                <c:pt idx="1">
                  <c:v>7.2214270519621593E-5</c:v>
                </c:pt>
                <c:pt idx="2">
                  <c:v>5.7243340997970016E-4</c:v>
                </c:pt>
                <c:pt idx="3">
                  <c:v>1.8962761154512897E-3</c:v>
                </c:pt>
                <c:pt idx="4">
                  <c:v>4.3935470704556945E-3</c:v>
                </c:pt>
                <c:pt idx="5">
                  <c:v>8.3667256949435664E-3</c:v>
                </c:pt>
                <c:pt idx="6">
                  <c:v>1.407144410544181E-2</c:v>
                </c:pt>
                <c:pt idx="7">
                  <c:v>2.1717683626814255E-2</c:v>
                </c:pt>
                <c:pt idx="8">
                  <c:v>3.1471337927762577E-2</c:v>
                </c:pt>
                <c:pt idx="9">
                  <c:v>4.3455996373176653E-2</c:v>
                </c:pt>
                <c:pt idx="10">
                  <c:v>5.7754873837213117E-2</c:v>
                </c:pt>
                <c:pt idx="11">
                  <c:v>7.4412845104316228E-2</c:v>
                </c:pt>
                <c:pt idx="12">
                  <c:v>9.3438558028948959E-2</c:v>
                </c:pt>
                <c:pt idx="13">
                  <c:v>0.11480660851607105</c:v>
                </c:pt>
                <c:pt idx="14">
                  <c:v>0.13845976568306573</c:v>
                </c:pt>
                <c:pt idx="15">
                  <c:v>0.16431123890711086</c:v>
                </c:pt>
                <c:pt idx="16">
                  <c:v>0.19224698067189527</c:v>
                </c:pt>
                <c:pt idx="17">
                  <c:v>0.22212802064647819</c:v>
                </c:pt>
                <c:pt idx="18">
                  <c:v>0.25379282750881627</c:v>
                </c:pt>
                <c:pt idx="19">
                  <c:v>0.28705969581747615</c:v>
                </c:pt>
                <c:pt idx="20">
                  <c:v>0.32172915583075179</c:v>
                </c:pt>
                <c:pt idx="21">
                  <c:v>0.35758640463311875</c:v>
                </c:pt>
                <c:pt idx="22">
                  <c:v>0.39440375729476185</c:v>
                </c:pt>
                <c:pt idx="23">
                  <c:v>0.43194311708839539</c:v>
                </c:pt>
                <c:pt idx="24">
                  <c:v>0.46995846403830344</c:v>
                </c:pt>
                <c:pt idx="25">
                  <c:v>0.50819836129386986</c:v>
                </c:pt>
                <c:pt idx="26">
                  <c:v>0.54640847901484157</c:v>
                </c:pt>
                <c:pt idx="27">
                  <c:v>0.5843341356371663</c:v>
                </c:pt>
                <c:pt idx="28">
                  <c:v>0.62172285656413329</c:v>
                </c:pt>
                <c:pt idx="29">
                  <c:v>0.65832695050495427</c:v>
                </c:pt>
                <c:pt idx="30">
                  <c:v>0.69390610386917595</c:v>
                </c:pt>
                <c:pt idx="31">
                  <c:v>0.72822999382845854</c:v>
                </c:pt>
                <c:pt idx="32">
                  <c:v>0.76108092088689305</c:v>
                </c:pt>
                <c:pt idx="33">
                  <c:v>0.79225646206918754</c:v>
                </c:pt>
                <c:pt idx="34">
                  <c:v>0.82157214615867602</c:v>
                </c:pt>
                <c:pt idx="35">
                  <c:v>0.84886415281605809</c:v>
                </c:pt>
                <c:pt idx="36">
                  <c:v>0.87399203791610725</c:v>
                </c:pt>
                <c:pt idx="37">
                  <c:v>0.89684148809878861</c:v>
                </c:pt>
                <c:pt idx="38">
                  <c:v>0.91732710841192622</c:v>
                </c:pt>
                <c:pt idx="39">
                  <c:v>0.93539524813184138</c:v>
                </c:pt>
                <c:pt idx="40">
                  <c:v>0.95102687155928645</c:v>
                </c:pt>
                <c:pt idx="41">
                  <c:v>0.9642404830918393</c:v>
                </c:pt>
                <c:pt idx="42">
                  <c:v>0.97509511968512119</c:v>
                </c:pt>
                <c:pt idx="43">
                  <c:v>0.98369342989540554</c:v>
                </c:pt>
                <c:pt idx="44">
                  <c:v>0.99018486897361702</c:v>
                </c:pt>
                <c:pt idx="45">
                  <c:v>0.99476905817991979</c:v>
                </c:pt>
                <c:pt idx="46">
                  <c:v>0.99769939401226393</c:v>
                </c:pt>
                <c:pt idx="47">
                  <c:v>0.99928707957367169</c:v>
                </c:pt>
                <c:pt idx="48">
                  <c:v>0.99990599902484256</c:v>
                </c:pt>
                <c:pt idx="49">
                  <c:v>1</c:v>
                </c:pt>
              </c:numCache>
            </c:numRef>
          </c:val>
          <c:smooth val="0"/>
        </c:ser>
        <c:dLbls>
          <c:showLegendKey val="0"/>
          <c:showVal val="0"/>
          <c:showCatName val="0"/>
          <c:showSerName val="0"/>
          <c:showPercent val="0"/>
          <c:showBubbleSize val="0"/>
        </c:dLbls>
        <c:marker val="1"/>
        <c:smooth val="0"/>
        <c:axId val="227720192"/>
        <c:axId val="228021760"/>
      </c:lineChart>
      <c:catAx>
        <c:axId val="227720192"/>
        <c:scaling>
          <c:orientation val="minMax"/>
        </c:scaling>
        <c:delete val="0"/>
        <c:axPos val="b"/>
        <c:title>
          <c:tx>
            <c:rich>
              <a:bodyPr/>
              <a:lstStyle/>
              <a:p>
                <a:pPr>
                  <a:defRPr/>
                </a:pPr>
                <a:r>
                  <a:rPr lang="en-US"/>
                  <a:t>Kate</a:t>
                </a:r>
              </a:p>
            </c:rich>
          </c:tx>
          <c:overlay val="0"/>
        </c:title>
        <c:numFmt formatCode="0" sourceLinked="1"/>
        <c:majorTickMark val="out"/>
        <c:minorTickMark val="none"/>
        <c:tickLblPos val="nextTo"/>
        <c:crossAx val="228021760"/>
        <c:crosses val="autoZero"/>
        <c:auto val="1"/>
        <c:lblAlgn val="ctr"/>
        <c:lblOffset val="100"/>
        <c:noMultiLvlLbl val="0"/>
      </c:catAx>
      <c:valAx>
        <c:axId val="228021760"/>
        <c:scaling>
          <c:orientation val="minMax"/>
          <c:max val="1"/>
          <c:min val="0"/>
        </c:scaling>
        <c:delete val="0"/>
        <c:axPos val="l"/>
        <c:majorGridlines/>
        <c:title>
          <c:tx>
            <c:rich>
              <a:bodyPr rot="-5400000" vert="horz"/>
              <a:lstStyle/>
              <a:p>
                <a:pPr>
                  <a:defRPr/>
                </a:pPr>
                <a:r>
                  <a:rPr lang="fi-FI" b="1"/>
                  <a:t>Todennäköisyys</a:t>
                </a:r>
              </a:p>
            </c:rich>
          </c:tx>
          <c:layout>
            <c:manualLayout>
              <c:xMode val="edge"/>
              <c:yMode val="edge"/>
              <c:x val="5.3747720953389111E-3"/>
              <c:y val="0.4288135967909194"/>
            </c:manualLayout>
          </c:layout>
          <c:overlay val="0"/>
        </c:title>
        <c:numFmt formatCode="0\,0000" sourceLinked="1"/>
        <c:majorTickMark val="out"/>
        <c:minorTickMark val="none"/>
        <c:tickLblPos val="nextTo"/>
        <c:crossAx val="227720192"/>
        <c:crosses val="autoZero"/>
        <c:crossBetween val="between"/>
      </c:valAx>
    </c:plotArea>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marker>
            <c:symbol val="none"/>
          </c:marker>
          <c:cat>
            <c:numRef>
              <c:f>Laskenta!$I$78:$I$127</c:f>
              <c:numCache>
                <c:formatCode>0</c:formatCode>
                <c:ptCount val="50"/>
                <c:pt idx="0">
                  <c:v>1553.0598492012507</c:v>
                </c:pt>
                <c:pt idx="1">
                  <c:v>1521.050351036163</c:v>
                </c:pt>
                <c:pt idx="2">
                  <c:v>1489.0408528710752</c:v>
                </c:pt>
                <c:pt idx="3">
                  <c:v>1457.0313547059875</c:v>
                </c:pt>
                <c:pt idx="4">
                  <c:v>1425.0218565408998</c:v>
                </c:pt>
                <c:pt idx="5">
                  <c:v>1393.012358375812</c:v>
                </c:pt>
                <c:pt idx="6">
                  <c:v>1361.0028602107243</c:v>
                </c:pt>
                <c:pt idx="7">
                  <c:v>1328.9933620456366</c:v>
                </c:pt>
                <c:pt idx="8">
                  <c:v>1296.9838638805488</c:v>
                </c:pt>
                <c:pt idx="9">
                  <c:v>1264.9743657154611</c:v>
                </c:pt>
                <c:pt idx="10">
                  <c:v>1232.9648675503734</c:v>
                </c:pt>
                <c:pt idx="11">
                  <c:v>1200.9553693852856</c:v>
                </c:pt>
                <c:pt idx="12">
                  <c:v>1168.9458712201979</c:v>
                </c:pt>
                <c:pt idx="13">
                  <c:v>1136.9363730551102</c:v>
                </c:pt>
                <c:pt idx="14">
                  <c:v>1104.9268748900224</c:v>
                </c:pt>
                <c:pt idx="15">
                  <c:v>1072.9173767249347</c:v>
                </c:pt>
                <c:pt idx="16">
                  <c:v>1040.9078785598469</c:v>
                </c:pt>
                <c:pt idx="17">
                  <c:v>1008.8983803947592</c:v>
                </c:pt>
                <c:pt idx="18">
                  <c:v>976.88888222967148</c:v>
                </c:pt>
                <c:pt idx="19">
                  <c:v>944.87938406458375</c:v>
                </c:pt>
                <c:pt idx="20">
                  <c:v>912.86988589949601</c:v>
                </c:pt>
                <c:pt idx="21">
                  <c:v>880.86038773440828</c:v>
                </c:pt>
                <c:pt idx="22">
                  <c:v>848.85088956932054</c:v>
                </c:pt>
                <c:pt idx="23">
                  <c:v>816.84139140423281</c:v>
                </c:pt>
                <c:pt idx="24">
                  <c:v>784.83189323914507</c:v>
                </c:pt>
                <c:pt idx="25">
                  <c:v>752.82239507405734</c:v>
                </c:pt>
                <c:pt idx="26">
                  <c:v>720.81289690896961</c:v>
                </c:pt>
                <c:pt idx="27">
                  <c:v>688.80339874388187</c:v>
                </c:pt>
                <c:pt idx="28">
                  <c:v>656.79390057879414</c:v>
                </c:pt>
                <c:pt idx="29">
                  <c:v>624.7844024137064</c:v>
                </c:pt>
                <c:pt idx="30">
                  <c:v>592.77490424861867</c:v>
                </c:pt>
                <c:pt idx="31">
                  <c:v>560.76540608353093</c:v>
                </c:pt>
                <c:pt idx="32">
                  <c:v>528.7559079184432</c:v>
                </c:pt>
                <c:pt idx="33">
                  <c:v>496.74640975335546</c:v>
                </c:pt>
                <c:pt idx="34">
                  <c:v>464.73691158826773</c:v>
                </c:pt>
                <c:pt idx="35">
                  <c:v>432.72741342318</c:v>
                </c:pt>
                <c:pt idx="36">
                  <c:v>400.71791525809226</c:v>
                </c:pt>
                <c:pt idx="37">
                  <c:v>368.70841709300453</c:v>
                </c:pt>
                <c:pt idx="38">
                  <c:v>336.69891892791679</c:v>
                </c:pt>
                <c:pt idx="39">
                  <c:v>304.68942076282906</c:v>
                </c:pt>
                <c:pt idx="40">
                  <c:v>272.67992259774132</c:v>
                </c:pt>
                <c:pt idx="41">
                  <c:v>240.67042443265362</c:v>
                </c:pt>
                <c:pt idx="42">
                  <c:v>208.66092626756591</c:v>
                </c:pt>
                <c:pt idx="43">
                  <c:v>176.65142810247821</c:v>
                </c:pt>
                <c:pt idx="44">
                  <c:v>144.6419299373905</c:v>
                </c:pt>
                <c:pt idx="45">
                  <c:v>112.63243177230279</c:v>
                </c:pt>
                <c:pt idx="46">
                  <c:v>80.622933607215089</c:v>
                </c:pt>
                <c:pt idx="47">
                  <c:v>48.613435442127376</c:v>
                </c:pt>
                <c:pt idx="48">
                  <c:v>16.603937277039662</c:v>
                </c:pt>
                <c:pt idx="49">
                  <c:v>-15.405560888047319</c:v>
                </c:pt>
              </c:numCache>
            </c:numRef>
          </c:cat>
          <c:val>
            <c:numRef>
              <c:f>Laskenta!$L$78:$L$127</c:f>
              <c:numCache>
                <c:formatCode>0\,00000</c:formatCode>
                <c:ptCount val="50"/>
                <c:pt idx="0">
                  <c:v>0</c:v>
                </c:pt>
                <c:pt idx="1">
                  <c:v>6.7695356446659846E-4</c:v>
                </c:pt>
                <c:pt idx="2">
                  <c:v>2.654847418439253E-3</c:v>
                </c:pt>
                <c:pt idx="3">
                  <c:v>5.7988977292935664E-3</c:v>
                </c:pt>
                <c:pt idx="4">
                  <c:v>9.9618779410111883E-3</c:v>
                </c:pt>
                <c:pt idx="5">
                  <c:v>1.4996157724019981E-2</c:v>
                </c:pt>
                <c:pt idx="6">
                  <c:v>2.0757003061483242E-2</c:v>
                </c:pt>
                <c:pt idx="7">
                  <c:v>2.7104097488995723E-2</c:v>
                </c:pt>
                <c:pt idx="8">
                  <c:v>3.390240274052414E-2</c:v>
                </c:pt>
                <c:pt idx="9">
                  <c:v>4.1022708384894906E-2</c:v>
                </c:pt>
                <c:pt idx="10">
                  <c:v>4.8342012839207534E-2</c:v>
                </c:pt>
                <c:pt idx="11">
                  <c:v>5.5743803798053264E-2</c:v>
                </c:pt>
                <c:pt idx="12">
                  <c:v>6.3118274363370641E-2</c:v>
                </c:pt>
                <c:pt idx="13">
                  <c:v>7.0362495860191332E-2</c:v>
                </c:pt>
                <c:pt idx="14">
                  <c:v>7.738056026269631E-2</c:v>
                </c:pt>
                <c:pt idx="15">
                  <c:v>8.4083700603375666E-2</c:v>
                </c:pt>
                <c:pt idx="16">
                  <c:v>9.0390395021741093E-2</c:v>
                </c:pt>
                <c:pt idx="17">
                  <c:v>9.6226458413237251E-2</c:v>
                </c:pt>
                <c:pt idx="18">
                  <c:v>0.10152512454021563</c:v>
                </c:pt>
                <c:pt idx="19">
                  <c:v>0.10622712073277565</c:v>
                </c:pt>
                <c:pt idx="20">
                  <c:v>0.11028073680450566</c:v>
                </c:pt>
                <c:pt idx="21">
                  <c:v>0.11364188945713975</c:v>
                </c:pt>
                <c:pt idx="22">
                  <c:v>0.1162741831998719</c:v>
                </c:pt>
                <c:pt idx="23">
                  <c:v>0.11814896863257909</c:v>
                </c:pt>
                <c:pt idx="24">
                  <c:v>0.11924539881758614</c:v>
                </c:pt>
                <c:pt idx="25">
                  <c:v>0.11955048437894636</c:v>
                </c:pt>
                <c:pt idx="26">
                  <c:v>0.1190591479131909</c:v>
                </c:pt>
                <c:pt idx="27">
                  <c:v>0.11777427826613945</c:v>
                </c:pt>
                <c:pt idx="28">
                  <c:v>0.11570678522391054</c:v>
                </c:pt>
                <c:pt idx="29">
                  <c:v>0.11287565518225658</c:v>
                </c:pt>
                <c:pt idx="30">
                  <c:v>0.10930800839796254</c:v>
                </c:pt>
                <c:pt idx="31">
                  <c:v>0.10503915849282362</c:v>
                </c:pt>
                <c:pt idx="32">
                  <c:v>0.10011267498065791</c:v>
                </c:pt>
                <c:pt idx="33">
                  <c:v>9.4580449730607807E-2</c:v>
                </c:pt>
                <c:pt idx="34">
                  <c:v>8.8502768480487978E-2</c:v>
                </c:pt>
                <c:pt idx="35">
                  <c:v>8.1948388795036325E-2</c:v>
                </c:pt>
                <c:pt idx="36">
                  <c:v>7.4994626261121064E-2</c:v>
                </c:pt>
                <c:pt idx="37">
                  <c:v>6.7727451281583168E-2</c:v>
                </c:pt>
                <c:pt idx="38">
                  <c:v>6.024159966320497E-2</c:v>
                </c:pt>
                <c:pt idx="39">
                  <c:v>5.2640701446633936E-2</c:v>
                </c:pt>
                <c:pt idx="40">
                  <c:v>4.5037434367040552E-2</c:v>
                </c:pt>
                <c:pt idx="41">
                  <c:v>3.7553711458380448E-2</c:v>
                </c:pt>
                <c:pt idx="42">
                  <c:v>3.0320917578041333E-2</c:v>
                </c:pt>
                <c:pt idx="43">
                  <c:v>2.3480219009592566E-2</c:v>
                </c:pt>
                <c:pt idx="44">
                  <c:v>1.7182988234611708E-2</c:v>
                </c:pt>
                <c:pt idx="45">
                  <c:v>1.1591423495795462E-2</c:v>
                </c:pt>
                <c:pt idx="46">
                  <c:v>6.8795315241916037E-3</c:v>
                </c:pt>
                <c:pt idx="47">
                  <c:v>3.2348922342426167E-3</c:v>
                </c:pt>
                <c:pt idx="48">
                  <c:v>8.625693837438494E-4</c:v>
                </c:pt>
                <c:pt idx="49">
                  <c:v>0</c:v>
                </c:pt>
              </c:numCache>
            </c:numRef>
          </c:val>
          <c:smooth val="0"/>
        </c:ser>
        <c:dLbls>
          <c:showLegendKey val="0"/>
          <c:showVal val="0"/>
          <c:showCatName val="0"/>
          <c:showSerName val="0"/>
          <c:showPercent val="0"/>
          <c:showBubbleSize val="0"/>
        </c:dLbls>
        <c:marker val="1"/>
        <c:smooth val="0"/>
        <c:axId val="239325184"/>
        <c:axId val="239326720"/>
      </c:lineChart>
      <c:catAx>
        <c:axId val="239325184"/>
        <c:scaling>
          <c:orientation val="minMax"/>
        </c:scaling>
        <c:delete val="0"/>
        <c:axPos val="b"/>
        <c:numFmt formatCode="0" sourceLinked="1"/>
        <c:majorTickMark val="out"/>
        <c:minorTickMark val="none"/>
        <c:tickLblPos val="nextTo"/>
        <c:crossAx val="239326720"/>
        <c:crosses val="autoZero"/>
        <c:auto val="1"/>
        <c:lblAlgn val="ctr"/>
        <c:lblOffset val="100"/>
        <c:noMultiLvlLbl val="0"/>
      </c:catAx>
      <c:valAx>
        <c:axId val="239326720"/>
        <c:scaling>
          <c:orientation val="minMax"/>
        </c:scaling>
        <c:delete val="0"/>
        <c:axPos val="l"/>
        <c:majorGridlines/>
        <c:numFmt formatCode="0\,00000" sourceLinked="1"/>
        <c:majorTickMark val="out"/>
        <c:minorTickMark val="none"/>
        <c:tickLblPos val="nextTo"/>
        <c:crossAx val="239325184"/>
        <c:crosses val="autoZero"/>
        <c:crossBetween val="between"/>
      </c:valAx>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Laskenta!$K$129</c:f>
              <c:strCache>
                <c:ptCount val="1"/>
                <c:pt idx="0">
                  <c:v>Nettonykyarvo</c:v>
                </c:pt>
              </c:strCache>
            </c:strRef>
          </c:tx>
          <c:marker>
            <c:symbol val="none"/>
          </c:marker>
          <c:cat>
            <c:numRef>
              <c:f>Laskenta!$I$130:$I$179</c:f>
              <c:numCache>
                <c:formatCode>0</c:formatCode>
                <c:ptCount val="50"/>
                <c:pt idx="0">
                  <c:v>18540.327665642773</c:v>
                </c:pt>
                <c:pt idx="1">
                  <c:v>18158.200354387678</c:v>
                </c:pt>
                <c:pt idx="2">
                  <c:v>17776.073043132583</c:v>
                </c:pt>
                <c:pt idx="3">
                  <c:v>17393.945731877488</c:v>
                </c:pt>
                <c:pt idx="4">
                  <c:v>17011.818420622392</c:v>
                </c:pt>
                <c:pt idx="5">
                  <c:v>16629.691109367297</c:v>
                </c:pt>
                <c:pt idx="6">
                  <c:v>16247.563798112202</c:v>
                </c:pt>
                <c:pt idx="7">
                  <c:v>15865.436486857107</c:v>
                </c:pt>
                <c:pt idx="8">
                  <c:v>15483.309175602011</c:v>
                </c:pt>
                <c:pt idx="9">
                  <c:v>15101.181864346916</c:v>
                </c:pt>
                <c:pt idx="10">
                  <c:v>14719.054553091821</c:v>
                </c:pt>
                <c:pt idx="11">
                  <c:v>14336.927241836725</c:v>
                </c:pt>
                <c:pt idx="12">
                  <c:v>13954.79993058163</c:v>
                </c:pt>
                <c:pt idx="13">
                  <c:v>13572.672619326535</c:v>
                </c:pt>
                <c:pt idx="14">
                  <c:v>13190.54530807144</c:v>
                </c:pt>
                <c:pt idx="15">
                  <c:v>12808.417996816344</c:v>
                </c:pt>
                <c:pt idx="16">
                  <c:v>12426.290685561249</c:v>
                </c:pt>
                <c:pt idx="17">
                  <c:v>12044.163374306154</c:v>
                </c:pt>
                <c:pt idx="18">
                  <c:v>11662.036063051059</c:v>
                </c:pt>
                <c:pt idx="19">
                  <c:v>11279.908751795963</c:v>
                </c:pt>
                <c:pt idx="20">
                  <c:v>10897.781440540868</c:v>
                </c:pt>
                <c:pt idx="21">
                  <c:v>10515.654129285773</c:v>
                </c:pt>
                <c:pt idx="22">
                  <c:v>10133.526818030678</c:v>
                </c:pt>
                <c:pt idx="23">
                  <c:v>9751.3995067755823</c:v>
                </c:pt>
                <c:pt idx="24">
                  <c:v>9369.272195520487</c:v>
                </c:pt>
                <c:pt idx="25">
                  <c:v>8987.1448842653917</c:v>
                </c:pt>
                <c:pt idx="26">
                  <c:v>8605.0175730102965</c:v>
                </c:pt>
                <c:pt idx="27">
                  <c:v>8222.8902617552012</c:v>
                </c:pt>
                <c:pt idx="28">
                  <c:v>7840.7629505001059</c:v>
                </c:pt>
                <c:pt idx="29">
                  <c:v>7458.6356392450107</c:v>
                </c:pt>
                <c:pt idx="30">
                  <c:v>7076.5083279899154</c:v>
                </c:pt>
                <c:pt idx="31">
                  <c:v>6694.3810167348202</c:v>
                </c:pt>
                <c:pt idx="32">
                  <c:v>6312.2537054797249</c:v>
                </c:pt>
                <c:pt idx="33">
                  <c:v>5930.1263942246296</c:v>
                </c:pt>
                <c:pt idx="34">
                  <c:v>5547.9990829695344</c:v>
                </c:pt>
                <c:pt idx="35">
                  <c:v>5165.8717717144391</c:v>
                </c:pt>
                <c:pt idx="36">
                  <c:v>4783.7444604593438</c:v>
                </c:pt>
                <c:pt idx="37">
                  <c:v>4401.6171492042486</c:v>
                </c:pt>
                <c:pt idx="38">
                  <c:v>4019.4898379491533</c:v>
                </c:pt>
                <c:pt idx="39">
                  <c:v>3637.362526694058</c:v>
                </c:pt>
                <c:pt idx="40">
                  <c:v>3255.2352154389628</c:v>
                </c:pt>
                <c:pt idx="41">
                  <c:v>2873.1079041838675</c:v>
                </c:pt>
                <c:pt idx="42">
                  <c:v>2490.9805929287722</c:v>
                </c:pt>
                <c:pt idx="43">
                  <c:v>2108.853281673677</c:v>
                </c:pt>
                <c:pt idx="44">
                  <c:v>1726.7259704185819</c:v>
                </c:pt>
                <c:pt idx="45">
                  <c:v>1344.5986591634869</c:v>
                </c:pt>
                <c:pt idx="46">
                  <c:v>962.47134790839186</c:v>
                </c:pt>
                <c:pt idx="47">
                  <c:v>580.34403665329683</c:v>
                </c:pt>
                <c:pt idx="48">
                  <c:v>198.21672539820179</c:v>
                </c:pt>
                <c:pt idx="49">
                  <c:v>-183.91058585688532</c:v>
                </c:pt>
              </c:numCache>
            </c:numRef>
          </c:cat>
          <c:val>
            <c:numRef>
              <c:f>Laskenta!$K$130:$K$179</c:f>
              <c:numCache>
                <c:formatCode>0\,0000</c:formatCode>
                <c:ptCount val="50"/>
                <c:pt idx="0">
                  <c:v>0</c:v>
                </c:pt>
                <c:pt idx="1">
                  <c:v>7.2214270519621593E-5</c:v>
                </c:pt>
                <c:pt idx="2">
                  <c:v>5.7243340997970016E-4</c:v>
                </c:pt>
                <c:pt idx="3">
                  <c:v>1.8962761154512897E-3</c:v>
                </c:pt>
                <c:pt idx="4">
                  <c:v>4.3935470704556945E-3</c:v>
                </c:pt>
                <c:pt idx="5">
                  <c:v>8.3667256949435664E-3</c:v>
                </c:pt>
                <c:pt idx="6">
                  <c:v>1.4071444105441699E-2</c:v>
                </c:pt>
                <c:pt idx="7">
                  <c:v>2.1717683626814144E-2</c:v>
                </c:pt>
                <c:pt idx="8">
                  <c:v>3.1471337927762466E-2</c:v>
                </c:pt>
                <c:pt idx="9">
                  <c:v>4.3455996373176542E-2</c:v>
                </c:pt>
                <c:pt idx="10">
                  <c:v>5.7754873837212894E-2</c:v>
                </c:pt>
                <c:pt idx="11">
                  <c:v>7.4412845104316006E-2</c:v>
                </c:pt>
                <c:pt idx="12">
                  <c:v>9.3438558028948737E-2</c:v>
                </c:pt>
                <c:pt idx="13">
                  <c:v>0.11480660851607083</c:v>
                </c:pt>
                <c:pt idx="14">
                  <c:v>0.13845976568306551</c:v>
                </c:pt>
                <c:pt idx="15">
                  <c:v>0.16431123890711052</c:v>
                </c:pt>
                <c:pt idx="16">
                  <c:v>0.19224698067189516</c:v>
                </c:pt>
                <c:pt idx="17">
                  <c:v>0.22212802064647785</c:v>
                </c:pt>
                <c:pt idx="18">
                  <c:v>0.25379282750881615</c:v>
                </c:pt>
                <c:pt idx="19">
                  <c:v>0.28705969581747603</c:v>
                </c:pt>
                <c:pt idx="20">
                  <c:v>0.32172915583075157</c:v>
                </c:pt>
                <c:pt idx="21">
                  <c:v>0.35758640463311853</c:v>
                </c:pt>
                <c:pt idx="22">
                  <c:v>0.39440375729476174</c:v>
                </c:pt>
                <c:pt idx="23">
                  <c:v>0.43194311708839495</c:v>
                </c:pt>
                <c:pt idx="24">
                  <c:v>0.46995846403830321</c:v>
                </c:pt>
                <c:pt idx="25">
                  <c:v>0.50819836129386942</c:v>
                </c:pt>
                <c:pt idx="26">
                  <c:v>0.54640847901484091</c:v>
                </c:pt>
                <c:pt idx="27">
                  <c:v>0.58433413563716585</c:v>
                </c:pt>
                <c:pt idx="28">
                  <c:v>0.62172285656413284</c:v>
                </c:pt>
                <c:pt idx="29">
                  <c:v>0.65832695050495404</c:v>
                </c:pt>
                <c:pt idx="30">
                  <c:v>0.69390610386917562</c:v>
                </c:pt>
                <c:pt idx="31">
                  <c:v>0.72822999382845821</c:v>
                </c:pt>
                <c:pt idx="32">
                  <c:v>0.76108092088689283</c:v>
                </c:pt>
                <c:pt idx="33">
                  <c:v>0.79225646206918721</c:v>
                </c:pt>
                <c:pt idx="34">
                  <c:v>0.82157214615867569</c:v>
                </c:pt>
                <c:pt idx="35">
                  <c:v>0.84886415281605787</c:v>
                </c:pt>
                <c:pt idx="36">
                  <c:v>0.87399203791610702</c:v>
                </c:pt>
                <c:pt idx="37">
                  <c:v>0.8968414880987885</c:v>
                </c:pt>
                <c:pt idx="38">
                  <c:v>0.91732710841192611</c:v>
                </c:pt>
                <c:pt idx="39">
                  <c:v>0.93539524813184127</c:v>
                </c:pt>
                <c:pt idx="40">
                  <c:v>0.95102687155928634</c:v>
                </c:pt>
                <c:pt idx="41">
                  <c:v>0.9642404830918393</c:v>
                </c:pt>
                <c:pt idx="42">
                  <c:v>0.97509511968512108</c:v>
                </c:pt>
                <c:pt idx="43">
                  <c:v>0.98369342989540554</c:v>
                </c:pt>
                <c:pt idx="44">
                  <c:v>0.99018486897361702</c:v>
                </c:pt>
                <c:pt idx="45">
                  <c:v>0.99476905817991979</c:v>
                </c:pt>
                <c:pt idx="46">
                  <c:v>0.99769939401226393</c:v>
                </c:pt>
                <c:pt idx="47">
                  <c:v>0.99928707957367169</c:v>
                </c:pt>
                <c:pt idx="48">
                  <c:v>0.99990599902484256</c:v>
                </c:pt>
                <c:pt idx="49">
                  <c:v>1</c:v>
                </c:pt>
              </c:numCache>
            </c:numRef>
          </c:val>
          <c:smooth val="0"/>
        </c:ser>
        <c:dLbls>
          <c:showLegendKey val="0"/>
          <c:showVal val="0"/>
          <c:showCatName val="0"/>
          <c:showSerName val="0"/>
          <c:showPercent val="0"/>
          <c:showBubbleSize val="0"/>
        </c:dLbls>
        <c:marker val="1"/>
        <c:smooth val="0"/>
        <c:axId val="255519360"/>
        <c:axId val="264599808"/>
      </c:lineChart>
      <c:catAx>
        <c:axId val="255519360"/>
        <c:scaling>
          <c:orientation val="minMax"/>
        </c:scaling>
        <c:delete val="0"/>
        <c:axPos val="b"/>
        <c:numFmt formatCode="0" sourceLinked="1"/>
        <c:majorTickMark val="out"/>
        <c:minorTickMark val="none"/>
        <c:tickLblPos val="nextTo"/>
        <c:crossAx val="264599808"/>
        <c:crosses val="autoZero"/>
        <c:auto val="1"/>
        <c:lblAlgn val="ctr"/>
        <c:lblOffset val="100"/>
        <c:noMultiLvlLbl val="0"/>
      </c:catAx>
      <c:valAx>
        <c:axId val="264599808"/>
        <c:scaling>
          <c:orientation val="minMax"/>
        </c:scaling>
        <c:delete val="0"/>
        <c:axPos val="l"/>
        <c:majorGridlines/>
        <c:numFmt formatCode="0\,0000" sourceLinked="1"/>
        <c:majorTickMark val="out"/>
        <c:minorTickMark val="none"/>
        <c:tickLblPos val="nextTo"/>
        <c:crossAx val="255519360"/>
        <c:crosses val="autoZero"/>
        <c:crossBetween val="between"/>
      </c:valAx>
    </c:plotArea>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726445738993914E-2"/>
          <c:y val="5.9920095592247528E-2"/>
          <c:w val="0.89158224203427938"/>
          <c:h val="0.75014115266465919"/>
        </c:manualLayout>
      </c:layout>
      <c:lineChart>
        <c:grouping val="standard"/>
        <c:varyColors val="0"/>
        <c:ser>
          <c:idx val="0"/>
          <c:order val="0"/>
          <c:tx>
            <c:strRef>
              <c:f>Laskenta!$K$77</c:f>
              <c:strCache>
                <c:ptCount val="1"/>
                <c:pt idx="0">
                  <c:v>Todennäköisyys, että kate (rakennuksen ja koneiden poistolle ja korolle) on suurempi kuin</c:v>
                </c:pt>
              </c:strCache>
            </c:strRef>
          </c:tx>
          <c:marker>
            <c:symbol val="none"/>
          </c:marker>
          <c:cat>
            <c:numRef>
              <c:f>Laskenta!$J$78:$J$127</c:f>
              <c:numCache>
                <c:formatCode>0</c:formatCode>
                <c:ptCount val="50"/>
                <c:pt idx="0">
                  <c:v>1550</c:v>
                </c:pt>
                <c:pt idx="1">
                  <c:v>1500</c:v>
                </c:pt>
                <c:pt idx="2">
                  <c:v>1500</c:v>
                </c:pt>
                <c:pt idx="3">
                  <c:v>1450</c:v>
                </c:pt>
                <c:pt idx="4">
                  <c:v>1450</c:v>
                </c:pt>
                <c:pt idx="5">
                  <c:v>1400</c:v>
                </c:pt>
                <c:pt idx="6">
                  <c:v>1350</c:v>
                </c:pt>
                <c:pt idx="7">
                  <c:v>1350</c:v>
                </c:pt>
                <c:pt idx="8">
                  <c:v>1300</c:v>
                </c:pt>
                <c:pt idx="9">
                  <c:v>1250</c:v>
                </c:pt>
                <c:pt idx="10">
                  <c:v>1250</c:v>
                </c:pt>
                <c:pt idx="11">
                  <c:v>1200</c:v>
                </c:pt>
                <c:pt idx="12">
                  <c:v>1150</c:v>
                </c:pt>
                <c:pt idx="13">
                  <c:v>1150</c:v>
                </c:pt>
                <c:pt idx="14">
                  <c:v>1100</c:v>
                </c:pt>
                <c:pt idx="15">
                  <c:v>1050</c:v>
                </c:pt>
                <c:pt idx="16">
                  <c:v>1050</c:v>
                </c:pt>
                <c:pt idx="17">
                  <c:v>1000</c:v>
                </c:pt>
                <c:pt idx="18">
                  <c:v>1000</c:v>
                </c:pt>
                <c:pt idx="19">
                  <c:v>950</c:v>
                </c:pt>
                <c:pt idx="20">
                  <c:v>900</c:v>
                </c:pt>
                <c:pt idx="21">
                  <c:v>900</c:v>
                </c:pt>
                <c:pt idx="22">
                  <c:v>850</c:v>
                </c:pt>
                <c:pt idx="23">
                  <c:v>800</c:v>
                </c:pt>
                <c:pt idx="24">
                  <c:v>800</c:v>
                </c:pt>
                <c:pt idx="25">
                  <c:v>750</c:v>
                </c:pt>
                <c:pt idx="26">
                  <c:v>700</c:v>
                </c:pt>
                <c:pt idx="27">
                  <c:v>700</c:v>
                </c:pt>
                <c:pt idx="28">
                  <c:v>650</c:v>
                </c:pt>
                <c:pt idx="29">
                  <c:v>600</c:v>
                </c:pt>
                <c:pt idx="30">
                  <c:v>600</c:v>
                </c:pt>
                <c:pt idx="31">
                  <c:v>550</c:v>
                </c:pt>
                <c:pt idx="32">
                  <c:v>550</c:v>
                </c:pt>
                <c:pt idx="33">
                  <c:v>500</c:v>
                </c:pt>
                <c:pt idx="34">
                  <c:v>450</c:v>
                </c:pt>
                <c:pt idx="35">
                  <c:v>450</c:v>
                </c:pt>
                <c:pt idx="36">
                  <c:v>400</c:v>
                </c:pt>
                <c:pt idx="37">
                  <c:v>350</c:v>
                </c:pt>
                <c:pt idx="38">
                  <c:v>350</c:v>
                </c:pt>
                <c:pt idx="39">
                  <c:v>300</c:v>
                </c:pt>
                <c:pt idx="40">
                  <c:v>250</c:v>
                </c:pt>
                <c:pt idx="41">
                  <c:v>250</c:v>
                </c:pt>
                <c:pt idx="42">
                  <c:v>200</c:v>
                </c:pt>
                <c:pt idx="43">
                  <c:v>200</c:v>
                </c:pt>
                <c:pt idx="44">
                  <c:v>150</c:v>
                </c:pt>
                <c:pt idx="45">
                  <c:v>100</c:v>
                </c:pt>
                <c:pt idx="46">
                  <c:v>100</c:v>
                </c:pt>
                <c:pt idx="47">
                  <c:v>50</c:v>
                </c:pt>
                <c:pt idx="48">
                  <c:v>0</c:v>
                </c:pt>
                <c:pt idx="49">
                  <c:v>0</c:v>
                </c:pt>
              </c:numCache>
            </c:numRef>
          </c:cat>
          <c:val>
            <c:numRef>
              <c:f>Laskenta!$K$78:$K$127</c:f>
              <c:numCache>
                <c:formatCode>0\,0000</c:formatCode>
                <c:ptCount val="50"/>
                <c:pt idx="0">
                  <c:v>0</c:v>
                </c:pt>
                <c:pt idx="1">
                  <c:v>7.2214270519621593E-5</c:v>
                </c:pt>
                <c:pt idx="2">
                  <c:v>5.7243340997970016E-4</c:v>
                </c:pt>
                <c:pt idx="3">
                  <c:v>1.8962761154512897E-3</c:v>
                </c:pt>
                <c:pt idx="4">
                  <c:v>4.3935470704556945E-3</c:v>
                </c:pt>
                <c:pt idx="5">
                  <c:v>8.3667256949435664E-3</c:v>
                </c:pt>
                <c:pt idx="6">
                  <c:v>1.407144410544181E-2</c:v>
                </c:pt>
                <c:pt idx="7">
                  <c:v>2.1717683626814255E-2</c:v>
                </c:pt>
                <c:pt idx="8">
                  <c:v>3.1471337927762577E-2</c:v>
                </c:pt>
                <c:pt idx="9">
                  <c:v>4.3455996373176653E-2</c:v>
                </c:pt>
                <c:pt idx="10">
                  <c:v>5.7754873837213117E-2</c:v>
                </c:pt>
                <c:pt idx="11">
                  <c:v>7.4412845104316228E-2</c:v>
                </c:pt>
                <c:pt idx="12">
                  <c:v>9.3438558028948959E-2</c:v>
                </c:pt>
                <c:pt idx="13">
                  <c:v>0.11480660851607105</c:v>
                </c:pt>
                <c:pt idx="14">
                  <c:v>0.13845976568306573</c:v>
                </c:pt>
                <c:pt idx="15">
                  <c:v>0.16431123890711086</c:v>
                </c:pt>
                <c:pt idx="16">
                  <c:v>0.19224698067189527</c:v>
                </c:pt>
                <c:pt idx="17">
                  <c:v>0.22212802064647819</c:v>
                </c:pt>
                <c:pt idx="18">
                  <c:v>0.25379282750881627</c:v>
                </c:pt>
                <c:pt idx="19">
                  <c:v>0.28705969581747615</c:v>
                </c:pt>
                <c:pt idx="20">
                  <c:v>0.32172915583075179</c:v>
                </c:pt>
                <c:pt idx="21">
                  <c:v>0.35758640463311875</c:v>
                </c:pt>
                <c:pt idx="22">
                  <c:v>0.39440375729476185</c:v>
                </c:pt>
                <c:pt idx="23">
                  <c:v>0.43194311708839539</c:v>
                </c:pt>
                <c:pt idx="24">
                  <c:v>0.46995846403830344</c:v>
                </c:pt>
                <c:pt idx="25">
                  <c:v>0.50819836129386986</c:v>
                </c:pt>
                <c:pt idx="26">
                  <c:v>0.54640847901484157</c:v>
                </c:pt>
                <c:pt idx="27">
                  <c:v>0.5843341356371663</c:v>
                </c:pt>
                <c:pt idx="28">
                  <c:v>0.62172285656413329</c:v>
                </c:pt>
                <c:pt idx="29">
                  <c:v>0.65832695050495427</c:v>
                </c:pt>
                <c:pt idx="30">
                  <c:v>0.69390610386917595</c:v>
                </c:pt>
                <c:pt idx="31">
                  <c:v>0.72822999382845854</c:v>
                </c:pt>
                <c:pt idx="32">
                  <c:v>0.76108092088689305</c:v>
                </c:pt>
                <c:pt idx="33">
                  <c:v>0.79225646206918754</c:v>
                </c:pt>
                <c:pt idx="34">
                  <c:v>0.82157214615867602</c:v>
                </c:pt>
                <c:pt idx="35">
                  <c:v>0.84886415281605809</c:v>
                </c:pt>
                <c:pt idx="36">
                  <c:v>0.87399203791610725</c:v>
                </c:pt>
                <c:pt idx="37">
                  <c:v>0.89684148809878861</c:v>
                </c:pt>
                <c:pt idx="38">
                  <c:v>0.91732710841192622</c:v>
                </c:pt>
                <c:pt idx="39">
                  <c:v>0.93539524813184138</c:v>
                </c:pt>
                <c:pt idx="40">
                  <c:v>0.95102687155928645</c:v>
                </c:pt>
                <c:pt idx="41">
                  <c:v>0.9642404830918393</c:v>
                </c:pt>
                <c:pt idx="42">
                  <c:v>0.97509511968512119</c:v>
                </c:pt>
                <c:pt idx="43">
                  <c:v>0.98369342989540554</c:v>
                </c:pt>
                <c:pt idx="44">
                  <c:v>0.99018486897361702</c:v>
                </c:pt>
                <c:pt idx="45">
                  <c:v>0.99476905817991979</c:v>
                </c:pt>
                <c:pt idx="46">
                  <c:v>0.99769939401226393</c:v>
                </c:pt>
                <c:pt idx="47">
                  <c:v>0.99928707957367169</c:v>
                </c:pt>
                <c:pt idx="48">
                  <c:v>0.99990599902484256</c:v>
                </c:pt>
                <c:pt idx="49">
                  <c:v>1</c:v>
                </c:pt>
              </c:numCache>
            </c:numRef>
          </c:val>
          <c:smooth val="0"/>
        </c:ser>
        <c:dLbls>
          <c:showLegendKey val="0"/>
          <c:showVal val="0"/>
          <c:showCatName val="0"/>
          <c:showSerName val="0"/>
          <c:showPercent val="0"/>
          <c:showBubbleSize val="0"/>
        </c:dLbls>
        <c:marker val="1"/>
        <c:smooth val="0"/>
        <c:axId val="296373632"/>
        <c:axId val="296388480"/>
      </c:lineChart>
      <c:catAx>
        <c:axId val="296373632"/>
        <c:scaling>
          <c:orientation val="minMax"/>
        </c:scaling>
        <c:delete val="0"/>
        <c:axPos val="b"/>
        <c:title>
          <c:tx>
            <c:rich>
              <a:bodyPr/>
              <a:lstStyle/>
              <a:p>
                <a:pPr>
                  <a:defRPr/>
                </a:pPr>
                <a:r>
                  <a:rPr lang="en-US"/>
                  <a:t>Kate</a:t>
                </a:r>
              </a:p>
            </c:rich>
          </c:tx>
          <c:overlay val="0"/>
        </c:title>
        <c:numFmt formatCode="0" sourceLinked="1"/>
        <c:majorTickMark val="out"/>
        <c:minorTickMark val="none"/>
        <c:tickLblPos val="nextTo"/>
        <c:crossAx val="296388480"/>
        <c:crosses val="autoZero"/>
        <c:auto val="1"/>
        <c:lblAlgn val="ctr"/>
        <c:lblOffset val="100"/>
        <c:noMultiLvlLbl val="0"/>
      </c:catAx>
      <c:valAx>
        <c:axId val="296388480"/>
        <c:scaling>
          <c:orientation val="minMax"/>
          <c:max val="1"/>
          <c:min val="0"/>
        </c:scaling>
        <c:delete val="0"/>
        <c:axPos val="l"/>
        <c:majorGridlines/>
        <c:title>
          <c:tx>
            <c:rich>
              <a:bodyPr rot="-5400000" vert="horz"/>
              <a:lstStyle/>
              <a:p>
                <a:pPr>
                  <a:defRPr/>
                </a:pPr>
                <a:r>
                  <a:rPr lang="fi-FI" b="1"/>
                  <a:t>Todennäköisyys</a:t>
                </a:r>
              </a:p>
            </c:rich>
          </c:tx>
          <c:layout>
            <c:manualLayout>
              <c:xMode val="edge"/>
              <c:yMode val="edge"/>
              <c:x val="5.3747720953389111E-3"/>
              <c:y val="0.4288135967909194"/>
            </c:manualLayout>
          </c:layout>
          <c:overlay val="0"/>
        </c:title>
        <c:numFmt formatCode="General" sourceLinked="0"/>
        <c:majorTickMark val="out"/>
        <c:minorTickMark val="none"/>
        <c:tickLblPos val="nextTo"/>
        <c:crossAx val="296373632"/>
        <c:crosses val="autoZero"/>
        <c:crossBetween val="between"/>
      </c:valAx>
    </c:plotArea>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5088245575401811E-2"/>
          <c:y val="5.7911305993318903E-2"/>
          <c:w val="0.8763251465626497"/>
          <c:h val="0.70183883200438191"/>
        </c:manualLayout>
      </c:layout>
      <c:lineChart>
        <c:grouping val="standard"/>
        <c:varyColors val="0"/>
        <c:ser>
          <c:idx val="0"/>
          <c:order val="0"/>
          <c:tx>
            <c:strRef>
              <c:f>Laskenta!$K$129</c:f>
              <c:strCache>
                <c:ptCount val="1"/>
                <c:pt idx="0">
                  <c:v>Nettonykyarvo</c:v>
                </c:pt>
              </c:strCache>
            </c:strRef>
          </c:tx>
          <c:marker>
            <c:symbol val="none"/>
          </c:marker>
          <c:cat>
            <c:numRef>
              <c:f>Laskenta!$J$130:$J$179</c:f>
              <c:numCache>
                <c:formatCode>0</c:formatCode>
                <c:ptCount val="50"/>
                <c:pt idx="0">
                  <c:v>18550</c:v>
                </c:pt>
                <c:pt idx="1">
                  <c:v>18150</c:v>
                </c:pt>
                <c:pt idx="2">
                  <c:v>17800</c:v>
                </c:pt>
                <c:pt idx="3">
                  <c:v>17400</c:v>
                </c:pt>
                <c:pt idx="4">
                  <c:v>17000</c:v>
                </c:pt>
                <c:pt idx="5">
                  <c:v>16650</c:v>
                </c:pt>
                <c:pt idx="6">
                  <c:v>16250</c:v>
                </c:pt>
                <c:pt idx="7">
                  <c:v>15850</c:v>
                </c:pt>
                <c:pt idx="8">
                  <c:v>15500</c:v>
                </c:pt>
                <c:pt idx="9">
                  <c:v>15100</c:v>
                </c:pt>
                <c:pt idx="10">
                  <c:v>14700</c:v>
                </c:pt>
                <c:pt idx="11">
                  <c:v>14350</c:v>
                </c:pt>
                <c:pt idx="12">
                  <c:v>13950</c:v>
                </c:pt>
                <c:pt idx="13">
                  <c:v>13550</c:v>
                </c:pt>
                <c:pt idx="14">
                  <c:v>13200</c:v>
                </c:pt>
                <c:pt idx="15">
                  <c:v>12800</c:v>
                </c:pt>
                <c:pt idx="16">
                  <c:v>12450</c:v>
                </c:pt>
                <c:pt idx="17">
                  <c:v>12050</c:v>
                </c:pt>
                <c:pt idx="18">
                  <c:v>11650</c:v>
                </c:pt>
                <c:pt idx="19">
                  <c:v>11300</c:v>
                </c:pt>
                <c:pt idx="20">
                  <c:v>10900</c:v>
                </c:pt>
                <c:pt idx="21">
                  <c:v>10500</c:v>
                </c:pt>
                <c:pt idx="22">
                  <c:v>10150</c:v>
                </c:pt>
                <c:pt idx="23">
                  <c:v>9750</c:v>
                </c:pt>
                <c:pt idx="24">
                  <c:v>9350</c:v>
                </c:pt>
                <c:pt idx="25">
                  <c:v>9000</c:v>
                </c:pt>
                <c:pt idx="26">
                  <c:v>8600</c:v>
                </c:pt>
                <c:pt idx="27">
                  <c:v>8200</c:v>
                </c:pt>
                <c:pt idx="28">
                  <c:v>7850</c:v>
                </c:pt>
                <c:pt idx="29">
                  <c:v>7450</c:v>
                </c:pt>
                <c:pt idx="30">
                  <c:v>7100</c:v>
                </c:pt>
                <c:pt idx="31">
                  <c:v>6700</c:v>
                </c:pt>
                <c:pt idx="32">
                  <c:v>6300</c:v>
                </c:pt>
                <c:pt idx="33">
                  <c:v>5950</c:v>
                </c:pt>
                <c:pt idx="34">
                  <c:v>5550</c:v>
                </c:pt>
                <c:pt idx="35">
                  <c:v>5150</c:v>
                </c:pt>
                <c:pt idx="36">
                  <c:v>4800</c:v>
                </c:pt>
                <c:pt idx="37">
                  <c:v>4400</c:v>
                </c:pt>
                <c:pt idx="38">
                  <c:v>4000</c:v>
                </c:pt>
                <c:pt idx="39">
                  <c:v>3650</c:v>
                </c:pt>
                <c:pt idx="40">
                  <c:v>3250</c:v>
                </c:pt>
                <c:pt idx="41">
                  <c:v>2850</c:v>
                </c:pt>
                <c:pt idx="42">
                  <c:v>2500</c:v>
                </c:pt>
                <c:pt idx="43">
                  <c:v>2100</c:v>
                </c:pt>
                <c:pt idx="44">
                  <c:v>1750</c:v>
                </c:pt>
                <c:pt idx="45">
                  <c:v>1350</c:v>
                </c:pt>
                <c:pt idx="46">
                  <c:v>950</c:v>
                </c:pt>
                <c:pt idx="47">
                  <c:v>600</c:v>
                </c:pt>
                <c:pt idx="48">
                  <c:v>200</c:v>
                </c:pt>
                <c:pt idx="49">
                  <c:v>0</c:v>
                </c:pt>
              </c:numCache>
            </c:numRef>
          </c:cat>
          <c:val>
            <c:numRef>
              <c:f>Laskenta!$K$130:$K$179</c:f>
              <c:numCache>
                <c:formatCode>0\,0000</c:formatCode>
                <c:ptCount val="50"/>
                <c:pt idx="0">
                  <c:v>0</c:v>
                </c:pt>
                <c:pt idx="1">
                  <c:v>7.2214270519621593E-5</c:v>
                </c:pt>
                <c:pt idx="2">
                  <c:v>5.7243340997970016E-4</c:v>
                </c:pt>
                <c:pt idx="3">
                  <c:v>1.8962761154512897E-3</c:v>
                </c:pt>
                <c:pt idx="4">
                  <c:v>4.3935470704556945E-3</c:v>
                </c:pt>
                <c:pt idx="5">
                  <c:v>8.3667256949435664E-3</c:v>
                </c:pt>
                <c:pt idx="6">
                  <c:v>1.4071444105441699E-2</c:v>
                </c:pt>
                <c:pt idx="7">
                  <c:v>2.1717683626814144E-2</c:v>
                </c:pt>
                <c:pt idx="8">
                  <c:v>3.1471337927762466E-2</c:v>
                </c:pt>
                <c:pt idx="9">
                  <c:v>4.3455996373176542E-2</c:v>
                </c:pt>
                <c:pt idx="10">
                  <c:v>5.7754873837212894E-2</c:v>
                </c:pt>
                <c:pt idx="11">
                  <c:v>7.4412845104316006E-2</c:v>
                </c:pt>
                <c:pt idx="12">
                  <c:v>9.3438558028948737E-2</c:v>
                </c:pt>
                <c:pt idx="13">
                  <c:v>0.11480660851607083</c:v>
                </c:pt>
                <c:pt idx="14">
                  <c:v>0.13845976568306551</c:v>
                </c:pt>
                <c:pt idx="15">
                  <c:v>0.16431123890711052</c:v>
                </c:pt>
                <c:pt idx="16">
                  <c:v>0.19224698067189516</c:v>
                </c:pt>
                <c:pt idx="17">
                  <c:v>0.22212802064647785</c:v>
                </c:pt>
                <c:pt idx="18">
                  <c:v>0.25379282750881615</c:v>
                </c:pt>
                <c:pt idx="19">
                  <c:v>0.28705969581747603</c:v>
                </c:pt>
                <c:pt idx="20">
                  <c:v>0.32172915583075157</c:v>
                </c:pt>
                <c:pt idx="21">
                  <c:v>0.35758640463311853</c:v>
                </c:pt>
                <c:pt idx="22">
                  <c:v>0.39440375729476174</c:v>
                </c:pt>
                <c:pt idx="23">
                  <c:v>0.43194311708839495</c:v>
                </c:pt>
                <c:pt idx="24">
                  <c:v>0.46995846403830321</c:v>
                </c:pt>
                <c:pt idx="25">
                  <c:v>0.50819836129386942</c:v>
                </c:pt>
                <c:pt idx="26">
                  <c:v>0.54640847901484091</c:v>
                </c:pt>
                <c:pt idx="27">
                  <c:v>0.58433413563716585</c:v>
                </c:pt>
                <c:pt idx="28">
                  <c:v>0.62172285656413284</c:v>
                </c:pt>
                <c:pt idx="29">
                  <c:v>0.65832695050495404</c:v>
                </c:pt>
                <c:pt idx="30">
                  <c:v>0.69390610386917562</c:v>
                </c:pt>
                <c:pt idx="31">
                  <c:v>0.72822999382845821</c:v>
                </c:pt>
                <c:pt idx="32">
                  <c:v>0.76108092088689283</c:v>
                </c:pt>
                <c:pt idx="33">
                  <c:v>0.79225646206918721</c:v>
                </c:pt>
                <c:pt idx="34">
                  <c:v>0.82157214615867569</c:v>
                </c:pt>
                <c:pt idx="35">
                  <c:v>0.84886415281605787</c:v>
                </c:pt>
                <c:pt idx="36">
                  <c:v>0.87399203791610702</c:v>
                </c:pt>
                <c:pt idx="37">
                  <c:v>0.8968414880987885</c:v>
                </c:pt>
                <c:pt idx="38">
                  <c:v>0.91732710841192611</c:v>
                </c:pt>
                <c:pt idx="39">
                  <c:v>0.93539524813184127</c:v>
                </c:pt>
                <c:pt idx="40">
                  <c:v>0.95102687155928634</c:v>
                </c:pt>
                <c:pt idx="41">
                  <c:v>0.9642404830918393</c:v>
                </c:pt>
                <c:pt idx="42">
                  <c:v>0.97509511968512108</c:v>
                </c:pt>
                <c:pt idx="43">
                  <c:v>0.98369342989540554</c:v>
                </c:pt>
                <c:pt idx="44">
                  <c:v>0.99018486897361702</c:v>
                </c:pt>
                <c:pt idx="45">
                  <c:v>0.99476905817991979</c:v>
                </c:pt>
                <c:pt idx="46">
                  <c:v>0.99769939401226393</c:v>
                </c:pt>
                <c:pt idx="47">
                  <c:v>0.99928707957367169</c:v>
                </c:pt>
                <c:pt idx="48">
                  <c:v>0.99990599902484256</c:v>
                </c:pt>
                <c:pt idx="49">
                  <c:v>1</c:v>
                </c:pt>
              </c:numCache>
            </c:numRef>
          </c:val>
          <c:smooth val="0"/>
        </c:ser>
        <c:dLbls>
          <c:showLegendKey val="0"/>
          <c:showVal val="0"/>
          <c:showCatName val="0"/>
          <c:showSerName val="0"/>
          <c:showPercent val="0"/>
          <c:showBubbleSize val="0"/>
        </c:dLbls>
        <c:marker val="1"/>
        <c:smooth val="0"/>
        <c:axId val="318908288"/>
        <c:axId val="318923904"/>
      </c:lineChart>
      <c:catAx>
        <c:axId val="318908288"/>
        <c:scaling>
          <c:orientation val="minMax"/>
        </c:scaling>
        <c:delete val="0"/>
        <c:axPos val="b"/>
        <c:title>
          <c:tx>
            <c:rich>
              <a:bodyPr/>
              <a:lstStyle/>
              <a:p>
                <a:pPr>
                  <a:defRPr/>
                </a:pPr>
                <a:r>
                  <a:rPr lang="en-US"/>
                  <a:t>Nettonykyarvo</a:t>
                </a:r>
              </a:p>
            </c:rich>
          </c:tx>
          <c:overlay val="0"/>
        </c:title>
        <c:numFmt formatCode="0" sourceLinked="1"/>
        <c:majorTickMark val="out"/>
        <c:minorTickMark val="none"/>
        <c:tickLblPos val="nextTo"/>
        <c:crossAx val="318923904"/>
        <c:crosses val="autoZero"/>
        <c:auto val="1"/>
        <c:lblAlgn val="ctr"/>
        <c:lblOffset val="100"/>
        <c:noMultiLvlLbl val="0"/>
      </c:catAx>
      <c:valAx>
        <c:axId val="318923904"/>
        <c:scaling>
          <c:orientation val="minMax"/>
          <c:max val="1"/>
          <c:min val="0"/>
        </c:scaling>
        <c:delete val="0"/>
        <c:axPos val="l"/>
        <c:majorGridlines/>
        <c:title>
          <c:tx>
            <c:rich>
              <a:bodyPr rot="-5400000" vert="horz"/>
              <a:lstStyle/>
              <a:p>
                <a:pPr>
                  <a:defRPr/>
                </a:pPr>
                <a:r>
                  <a:rPr lang="en-US"/>
                  <a:t>Todennäköisyys</a:t>
                </a:r>
              </a:p>
            </c:rich>
          </c:tx>
          <c:overlay val="0"/>
        </c:title>
        <c:numFmt formatCode="General" sourceLinked="0"/>
        <c:majorTickMark val="out"/>
        <c:minorTickMark val="none"/>
        <c:tickLblPos val="nextTo"/>
        <c:crossAx val="318908288"/>
        <c:crosses val="autoZero"/>
        <c:crossBetween val="between"/>
      </c:valAx>
    </c:plotArea>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401455298341154"/>
          <c:y val="0.15497250754048988"/>
          <c:w val="0.87703921289457509"/>
          <c:h val="0.56614419545162009"/>
        </c:manualLayout>
      </c:layout>
      <c:barChart>
        <c:barDir val="col"/>
        <c:grouping val="clustered"/>
        <c:varyColors val="0"/>
        <c:ser>
          <c:idx val="1"/>
          <c:order val="0"/>
          <c:tx>
            <c:strRef>
              <c:f>Laskenta!$K$66</c:f>
              <c:strCache>
                <c:ptCount val="1"/>
                <c:pt idx="0">
                  <c:v>Ilman investointiavustusta</c:v>
                </c:pt>
              </c:strCache>
            </c:strRef>
          </c:tx>
          <c:invertIfNegative val="0"/>
          <c:cat>
            <c:numRef>
              <c:f>Laskenta!$I$67:$I$71</c:f>
              <c:numCache>
                <c:formatCode>General</c:formatCode>
                <c:ptCount val="5"/>
                <c:pt idx="0">
                  <c:v>11700</c:v>
                </c:pt>
                <c:pt idx="1">
                  <c:v>12400</c:v>
                </c:pt>
                <c:pt idx="2" formatCode="0">
                  <c:v>13000</c:v>
                </c:pt>
                <c:pt idx="3">
                  <c:v>13700</c:v>
                </c:pt>
                <c:pt idx="4">
                  <c:v>14300</c:v>
                </c:pt>
              </c:numCache>
            </c:numRef>
          </c:cat>
          <c:val>
            <c:numRef>
              <c:f>Laskenta!$K$67:$K$71</c:f>
              <c:numCache>
                <c:formatCode>0\,0000</c:formatCode>
                <c:ptCount val="5"/>
                <c:pt idx="0">
                  <c:v>0.25057216252620051</c:v>
                </c:pt>
                <c:pt idx="1">
                  <c:v>0.19424223134358565</c:v>
                </c:pt>
                <c:pt idx="2">
                  <c:v>0.15108215767539135</c:v>
                </c:pt>
                <c:pt idx="3">
                  <c:v>0.10742932297937691</c:v>
                </c:pt>
                <c:pt idx="4">
                  <c:v>7.6148218156235736E-2</c:v>
                </c:pt>
              </c:numCache>
            </c:numRef>
          </c:val>
        </c:ser>
        <c:ser>
          <c:idx val="0"/>
          <c:order val="1"/>
          <c:tx>
            <c:strRef>
              <c:f>Laskenta!$L$66</c:f>
              <c:strCache>
                <c:ptCount val="1"/>
                <c:pt idx="0">
                  <c:v>Investointiavustus huomioiden</c:v>
                </c:pt>
              </c:strCache>
            </c:strRef>
          </c:tx>
          <c:invertIfNegative val="0"/>
          <c:cat>
            <c:numRef>
              <c:f>Laskenta!$I$67:$I$71</c:f>
              <c:numCache>
                <c:formatCode>General</c:formatCode>
                <c:ptCount val="5"/>
                <c:pt idx="0">
                  <c:v>11700</c:v>
                </c:pt>
                <c:pt idx="1">
                  <c:v>12400</c:v>
                </c:pt>
                <c:pt idx="2" formatCode="0">
                  <c:v>13000</c:v>
                </c:pt>
                <c:pt idx="3">
                  <c:v>13700</c:v>
                </c:pt>
                <c:pt idx="4">
                  <c:v>14300</c:v>
                </c:pt>
              </c:numCache>
            </c:numRef>
          </c:cat>
          <c:val>
            <c:numRef>
              <c:f>Laskenta!$L$67:$L$71</c:f>
              <c:numCache>
                <c:formatCode>0\,0000</c:formatCode>
                <c:ptCount val="5"/>
                <c:pt idx="0">
                  <c:v>0.64441487038168543</c:v>
                </c:pt>
                <c:pt idx="1">
                  <c:v>0.60035210463512889</c:v>
                </c:pt>
                <c:pt idx="2">
                  <c:v>0.56184240938314145</c:v>
                </c:pt>
                <c:pt idx="3">
                  <c:v>0.51642351557475341</c:v>
                </c:pt>
                <c:pt idx="4">
                  <c:v>0.47738128537433022</c:v>
                </c:pt>
              </c:numCache>
            </c:numRef>
          </c:val>
        </c:ser>
        <c:dLbls>
          <c:showLegendKey val="0"/>
          <c:showVal val="0"/>
          <c:showCatName val="0"/>
          <c:showSerName val="0"/>
          <c:showPercent val="0"/>
          <c:showBubbleSize val="0"/>
        </c:dLbls>
        <c:gapWidth val="150"/>
        <c:axId val="319006592"/>
        <c:axId val="319107456"/>
      </c:barChart>
      <c:catAx>
        <c:axId val="319006592"/>
        <c:scaling>
          <c:orientation val="minMax"/>
        </c:scaling>
        <c:delete val="0"/>
        <c:axPos val="b"/>
        <c:title>
          <c:tx>
            <c:rich>
              <a:bodyPr/>
              <a:lstStyle/>
              <a:p>
                <a:pPr>
                  <a:defRPr/>
                </a:pPr>
                <a:r>
                  <a:rPr lang="en-US"/>
                  <a:t>Lehmäpaikan hinta</a:t>
                </a:r>
              </a:p>
            </c:rich>
          </c:tx>
          <c:layout>
            <c:manualLayout>
              <c:xMode val="edge"/>
              <c:yMode val="edge"/>
              <c:x val="0.40967752673155572"/>
              <c:y val="0.80013567132986496"/>
            </c:manualLayout>
          </c:layout>
          <c:overlay val="0"/>
        </c:title>
        <c:numFmt formatCode="General" sourceLinked="1"/>
        <c:majorTickMark val="out"/>
        <c:minorTickMark val="none"/>
        <c:tickLblPos val="nextTo"/>
        <c:crossAx val="319107456"/>
        <c:crosses val="autoZero"/>
        <c:auto val="1"/>
        <c:lblAlgn val="ctr"/>
        <c:lblOffset val="100"/>
        <c:noMultiLvlLbl val="0"/>
      </c:catAx>
      <c:valAx>
        <c:axId val="319107456"/>
        <c:scaling>
          <c:orientation val="minMax"/>
          <c:max val="1"/>
          <c:min val="0"/>
        </c:scaling>
        <c:delete val="0"/>
        <c:axPos val="l"/>
        <c:majorGridlines/>
        <c:title>
          <c:tx>
            <c:rich>
              <a:bodyPr rot="-5400000" vert="horz"/>
              <a:lstStyle/>
              <a:p>
                <a:pPr>
                  <a:defRPr/>
                </a:pPr>
                <a:r>
                  <a:rPr lang="fi-FI"/>
                  <a:t>Todennäköisyys,</a:t>
                </a:r>
                <a:r>
                  <a:rPr lang="fi-FI" baseline="0"/>
                  <a:t> NNA on suurempi kuin arvo</a:t>
                </a:r>
                <a:endParaRPr lang="fi-FI"/>
              </a:p>
            </c:rich>
          </c:tx>
          <c:layout>
            <c:manualLayout>
              <c:xMode val="edge"/>
              <c:yMode val="edge"/>
              <c:x val="7.1029646664325435E-3"/>
              <c:y val="6.5911516661659023E-2"/>
            </c:manualLayout>
          </c:layout>
          <c:overlay val="0"/>
        </c:title>
        <c:numFmt formatCode="General" sourceLinked="0"/>
        <c:majorTickMark val="out"/>
        <c:minorTickMark val="none"/>
        <c:tickLblPos val="nextTo"/>
        <c:crossAx val="319006592"/>
        <c:crosses val="autoZero"/>
        <c:crossBetween val="between"/>
      </c:valAx>
    </c:plotArea>
    <c:legend>
      <c:legendPos val="r"/>
      <c:layout>
        <c:manualLayout>
          <c:xMode val="edge"/>
          <c:yMode val="edge"/>
          <c:x val="3.2553565241336735E-2"/>
          <c:y val="0.85619635019948281"/>
          <c:w val="0.94054466254011437"/>
          <c:h val="0.13228455837979775"/>
        </c:manualLayout>
      </c:layout>
      <c:overlay val="0"/>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726445738993914E-2"/>
          <c:y val="5.9920095592247528E-2"/>
          <c:w val="0.89158224203427938"/>
          <c:h val="0.75014115266465919"/>
        </c:manualLayout>
      </c:layout>
      <c:lineChart>
        <c:grouping val="standard"/>
        <c:varyColors val="0"/>
        <c:ser>
          <c:idx val="0"/>
          <c:order val="0"/>
          <c:tx>
            <c:strRef>
              <c:f>Laskenta!$K$185</c:f>
              <c:strCache>
                <c:ptCount val="1"/>
                <c:pt idx="0">
                  <c:v>Oman työn korvaus</c:v>
                </c:pt>
              </c:strCache>
            </c:strRef>
          </c:tx>
          <c:marker>
            <c:symbol val="none"/>
          </c:marker>
          <c:cat>
            <c:numRef>
              <c:f>Laskenta!$J$186:$J$235</c:f>
              <c:numCache>
                <c:formatCode>0</c:formatCode>
                <c:ptCount val="50"/>
                <c:pt idx="0">
                  <c:v>179.40265667129313</c:v>
                </c:pt>
                <c:pt idx="1">
                  <c:v>174.8573079318507</c:v>
                </c:pt>
                <c:pt idx="2">
                  <c:v>170.31195919240824</c:v>
                </c:pt>
                <c:pt idx="3">
                  <c:v>165.76661045296581</c:v>
                </c:pt>
                <c:pt idx="4">
                  <c:v>161.22126171352335</c:v>
                </c:pt>
                <c:pt idx="5">
                  <c:v>156.67591297408092</c:v>
                </c:pt>
                <c:pt idx="6">
                  <c:v>152.13056423463848</c:v>
                </c:pt>
                <c:pt idx="7">
                  <c:v>147.58521549519602</c:v>
                </c:pt>
                <c:pt idx="8">
                  <c:v>143.03986675575359</c:v>
                </c:pt>
                <c:pt idx="9">
                  <c:v>138.49451801631113</c:v>
                </c:pt>
                <c:pt idx="10">
                  <c:v>133.9491692768687</c:v>
                </c:pt>
                <c:pt idx="11">
                  <c:v>129.40382053742624</c:v>
                </c:pt>
                <c:pt idx="12">
                  <c:v>124.85847179798377</c:v>
                </c:pt>
                <c:pt idx="13">
                  <c:v>120.31312305854131</c:v>
                </c:pt>
                <c:pt idx="14">
                  <c:v>115.76777431909885</c:v>
                </c:pt>
                <c:pt idx="15">
                  <c:v>111.2224255796564</c:v>
                </c:pt>
                <c:pt idx="16">
                  <c:v>106.67707684021394</c:v>
                </c:pt>
                <c:pt idx="17">
                  <c:v>102.13172810077148</c:v>
                </c:pt>
                <c:pt idx="18">
                  <c:v>97.586379361329023</c:v>
                </c:pt>
                <c:pt idx="19">
                  <c:v>93.041030621886563</c:v>
                </c:pt>
                <c:pt idx="20">
                  <c:v>88.495681882444103</c:v>
                </c:pt>
                <c:pt idx="21">
                  <c:v>83.950333143001643</c:v>
                </c:pt>
                <c:pt idx="22">
                  <c:v>79.404984403559183</c:v>
                </c:pt>
                <c:pt idx="23">
                  <c:v>74.859635664116723</c:v>
                </c:pt>
                <c:pt idx="24">
                  <c:v>70.314286924674263</c:v>
                </c:pt>
                <c:pt idx="25">
                  <c:v>65.768938185231804</c:v>
                </c:pt>
                <c:pt idx="26">
                  <c:v>61.223589445789344</c:v>
                </c:pt>
                <c:pt idx="27">
                  <c:v>56.678240706346884</c:v>
                </c:pt>
                <c:pt idx="28">
                  <c:v>52.132891966904424</c:v>
                </c:pt>
                <c:pt idx="29">
                  <c:v>47.587543227461964</c:v>
                </c:pt>
                <c:pt idx="30">
                  <c:v>43.042194488019511</c:v>
                </c:pt>
                <c:pt idx="31">
                  <c:v>38.496845748577051</c:v>
                </c:pt>
                <c:pt idx="32">
                  <c:v>33.951497009134592</c:v>
                </c:pt>
                <c:pt idx="33">
                  <c:v>29.406148269692135</c:v>
                </c:pt>
                <c:pt idx="34">
                  <c:v>24.860799530249679</c:v>
                </c:pt>
                <c:pt idx="35">
                  <c:v>20.315450790807223</c:v>
                </c:pt>
                <c:pt idx="36">
                  <c:v>15.770102051364768</c:v>
                </c:pt>
                <c:pt idx="37">
                  <c:v>11.224753311922312</c:v>
                </c:pt>
                <c:pt idx="38">
                  <c:v>6.6794045724798563</c:v>
                </c:pt>
                <c:pt idx="39">
                  <c:v>2.1340558330374004</c:v>
                </c:pt>
                <c:pt idx="40">
                  <c:v>-2.411292906405055</c:v>
                </c:pt>
                <c:pt idx="41">
                  <c:v>-6.9566416458475109</c:v>
                </c:pt>
                <c:pt idx="42">
                  <c:v>-11.501990385289966</c:v>
                </c:pt>
                <c:pt idx="43">
                  <c:v>-16.047339124732421</c:v>
                </c:pt>
                <c:pt idx="44">
                  <c:v>-20.592687864174877</c:v>
                </c:pt>
                <c:pt idx="45">
                  <c:v>-25.138036603617333</c:v>
                </c:pt>
                <c:pt idx="46">
                  <c:v>-29.68338534305979</c:v>
                </c:pt>
                <c:pt idx="47">
                  <c:v>-34.228734082502243</c:v>
                </c:pt>
                <c:pt idx="48">
                  <c:v>-38.774082821944702</c:v>
                </c:pt>
                <c:pt idx="49">
                  <c:v>-43.319431561387191</c:v>
                </c:pt>
              </c:numCache>
            </c:numRef>
          </c:cat>
          <c:val>
            <c:numRef>
              <c:f>Laskenta!$K$186:$K$235</c:f>
              <c:numCache>
                <c:formatCode>0\,0000</c:formatCode>
                <c:ptCount val="50"/>
                <c:pt idx="0">
                  <c:v>0</c:v>
                </c:pt>
                <c:pt idx="1">
                  <c:v>7.2214270519621593E-5</c:v>
                </c:pt>
                <c:pt idx="2">
                  <c:v>5.7243340997970016E-4</c:v>
                </c:pt>
                <c:pt idx="3">
                  <c:v>1.8962761154512897E-3</c:v>
                </c:pt>
                <c:pt idx="4">
                  <c:v>4.3935470704556945E-3</c:v>
                </c:pt>
                <c:pt idx="5">
                  <c:v>8.3667256949435664E-3</c:v>
                </c:pt>
                <c:pt idx="6">
                  <c:v>1.4071444105441699E-2</c:v>
                </c:pt>
                <c:pt idx="7">
                  <c:v>2.1717683626814144E-2</c:v>
                </c:pt>
                <c:pt idx="8">
                  <c:v>3.1471337927762355E-2</c:v>
                </c:pt>
                <c:pt idx="9">
                  <c:v>4.3455996373176431E-2</c:v>
                </c:pt>
                <c:pt idx="10">
                  <c:v>5.7754873837212672E-2</c:v>
                </c:pt>
                <c:pt idx="11">
                  <c:v>7.4412845104315672E-2</c:v>
                </c:pt>
                <c:pt idx="12">
                  <c:v>9.3438558028948404E-2</c:v>
                </c:pt>
                <c:pt idx="13">
                  <c:v>0.11480660851607039</c:v>
                </c:pt>
                <c:pt idx="14">
                  <c:v>0.13845976568306495</c:v>
                </c:pt>
                <c:pt idx="15">
                  <c:v>0.16431123890711008</c:v>
                </c:pt>
                <c:pt idx="16">
                  <c:v>0.19224698067189472</c:v>
                </c:pt>
                <c:pt idx="17">
                  <c:v>0.2221280206464773</c:v>
                </c:pt>
                <c:pt idx="18">
                  <c:v>0.25379282750881549</c:v>
                </c:pt>
                <c:pt idx="19">
                  <c:v>0.28705969581747537</c:v>
                </c:pt>
                <c:pt idx="20">
                  <c:v>0.32172915583075101</c:v>
                </c:pt>
                <c:pt idx="21">
                  <c:v>0.35758640463311775</c:v>
                </c:pt>
                <c:pt idx="22">
                  <c:v>0.39440375729476096</c:v>
                </c:pt>
                <c:pt idx="23">
                  <c:v>0.43194311708839428</c:v>
                </c:pt>
                <c:pt idx="24">
                  <c:v>0.46995846403830244</c:v>
                </c:pt>
                <c:pt idx="25">
                  <c:v>0.50819836129386886</c:v>
                </c:pt>
                <c:pt idx="26">
                  <c:v>0.54640847901484035</c:v>
                </c:pt>
                <c:pt idx="27">
                  <c:v>0.58433413563716519</c:v>
                </c:pt>
                <c:pt idx="28">
                  <c:v>0.62172285656413195</c:v>
                </c:pt>
                <c:pt idx="29">
                  <c:v>0.65832695050495327</c:v>
                </c:pt>
                <c:pt idx="30">
                  <c:v>0.69390610386917495</c:v>
                </c:pt>
                <c:pt idx="31">
                  <c:v>0.72822999382845766</c:v>
                </c:pt>
                <c:pt idx="32">
                  <c:v>0.76108092088689216</c:v>
                </c:pt>
                <c:pt idx="33">
                  <c:v>0.79225646206918654</c:v>
                </c:pt>
                <c:pt idx="34">
                  <c:v>0.82157214615867513</c:v>
                </c:pt>
                <c:pt idx="35">
                  <c:v>0.84886415281605732</c:v>
                </c:pt>
                <c:pt idx="36">
                  <c:v>0.87399203791610647</c:v>
                </c:pt>
                <c:pt idx="37">
                  <c:v>0.89684148809878805</c:v>
                </c:pt>
                <c:pt idx="38">
                  <c:v>0.91732710841192555</c:v>
                </c:pt>
                <c:pt idx="39">
                  <c:v>0.93539524813184072</c:v>
                </c:pt>
                <c:pt idx="40">
                  <c:v>0.95102687155928589</c:v>
                </c:pt>
                <c:pt idx="41">
                  <c:v>0.96424048309183896</c:v>
                </c:pt>
                <c:pt idx="42">
                  <c:v>0.97509511968512086</c:v>
                </c:pt>
                <c:pt idx="43">
                  <c:v>0.98369342989540531</c:v>
                </c:pt>
                <c:pt idx="44">
                  <c:v>0.99018486897361679</c:v>
                </c:pt>
                <c:pt idx="45">
                  <c:v>0.99476905817991967</c:v>
                </c:pt>
                <c:pt idx="46">
                  <c:v>0.99769939401226393</c:v>
                </c:pt>
                <c:pt idx="47">
                  <c:v>0.99928707957367158</c:v>
                </c:pt>
                <c:pt idx="48">
                  <c:v>0.99990599902484256</c:v>
                </c:pt>
                <c:pt idx="49">
                  <c:v>1</c:v>
                </c:pt>
              </c:numCache>
            </c:numRef>
          </c:val>
          <c:smooth val="0"/>
        </c:ser>
        <c:dLbls>
          <c:showLegendKey val="0"/>
          <c:showVal val="0"/>
          <c:showCatName val="0"/>
          <c:showSerName val="0"/>
          <c:showPercent val="0"/>
          <c:showBubbleSize val="0"/>
        </c:dLbls>
        <c:marker val="1"/>
        <c:smooth val="0"/>
        <c:axId val="320557440"/>
        <c:axId val="320559360"/>
      </c:lineChart>
      <c:catAx>
        <c:axId val="320557440"/>
        <c:scaling>
          <c:orientation val="minMax"/>
        </c:scaling>
        <c:delete val="0"/>
        <c:axPos val="b"/>
        <c:title>
          <c:tx>
            <c:rich>
              <a:bodyPr/>
              <a:lstStyle/>
              <a:p>
                <a:pPr>
                  <a:defRPr/>
                </a:pPr>
                <a:r>
                  <a:rPr lang="en-US"/>
                  <a:t>Tuhatta</a:t>
                </a:r>
                <a:r>
                  <a:rPr lang="en-US" baseline="0"/>
                  <a:t> euroa</a:t>
                </a:r>
                <a:endParaRPr lang="en-US"/>
              </a:p>
            </c:rich>
          </c:tx>
          <c:overlay val="0"/>
        </c:title>
        <c:numFmt formatCode="0" sourceLinked="1"/>
        <c:majorTickMark val="out"/>
        <c:minorTickMark val="none"/>
        <c:tickLblPos val="nextTo"/>
        <c:crossAx val="320559360"/>
        <c:crosses val="autoZero"/>
        <c:auto val="1"/>
        <c:lblAlgn val="ctr"/>
        <c:lblOffset val="100"/>
        <c:noMultiLvlLbl val="0"/>
      </c:catAx>
      <c:valAx>
        <c:axId val="320559360"/>
        <c:scaling>
          <c:orientation val="minMax"/>
          <c:max val="1"/>
          <c:min val="0"/>
        </c:scaling>
        <c:delete val="0"/>
        <c:axPos val="l"/>
        <c:majorGridlines/>
        <c:title>
          <c:tx>
            <c:rich>
              <a:bodyPr rot="-5400000" vert="horz"/>
              <a:lstStyle/>
              <a:p>
                <a:pPr>
                  <a:defRPr/>
                </a:pPr>
                <a:r>
                  <a:rPr lang="fi-FI" b="1"/>
                  <a:t>Todennäköisyys</a:t>
                </a:r>
              </a:p>
            </c:rich>
          </c:tx>
          <c:layout>
            <c:manualLayout>
              <c:xMode val="edge"/>
              <c:yMode val="edge"/>
              <c:x val="5.3748332872007405E-3"/>
              <c:y val="0.29495493957219382"/>
            </c:manualLayout>
          </c:layout>
          <c:overlay val="0"/>
        </c:title>
        <c:numFmt formatCode="General" sourceLinked="0"/>
        <c:majorTickMark val="out"/>
        <c:minorTickMark val="none"/>
        <c:tickLblPos val="nextTo"/>
        <c:crossAx val="320557440"/>
        <c:crosses val="autoZero"/>
        <c:crossBetween val="between"/>
      </c:valAx>
    </c:plotArea>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Drop" dropLines="9" dropStyle="combo" dx="16" fmlaLink="Tuet!$A$4" fmlaRange="Tuet!$B$6:$B$14" noThreeD="1" sel="3" val="0"/>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 Id="rId5" Type="http://schemas.openxmlformats.org/officeDocument/2006/relationships/chart" Target="../charts/chart7.xml"/><Relationship Id="rId4"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twoCellAnchor editAs="oneCell">
    <xdr:from>
      <xdr:col>1</xdr:col>
      <xdr:colOff>85726</xdr:colOff>
      <xdr:row>1</xdr:row>
      <xdr:rowOff>0</xdr:rowOff>
    </xdr:from>
    <xdr:to>
      <xdr:col>3</xdr:col>
      <xdr:colOff>66676</xdr:colOff>
      <xdr:row>4</xdr:row>
      <xdr:rowOff>86927</xdr:rowOff>
    </xdr:to>
    <xdr:pic>
      <xdr:nvPicPr>
        <xdr:cNvPr id="2" name="Kuva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5326" y="200025"/>
          <a:ext cx="1200150" cy="98227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68580</xdr:colOff>
          <xdr:row>2</xdr:row>
          <xdr:rowOff>144780</xdr:rowOff>
        </xdr:from>
        <xdr:to>
          <xdr:col>1</xdr:col>
          <xdr:colOff>830580</xdr:colOff>
          <xdr:row>3</xdr:row>
          <xdr:rowOff>152400</xdr:rowOff>
        </xdr:to>
        <xdr:sp macro="" textlink="">
          <xdr:nvSpPr>
            <xdr:cNvPr id="15369" name="Drop Down 9" hidden="1">
              <a:extLst>
                <a:ext uri="{63B3BB69-23CF-44E3-9099-C40C66FF867C}">
                  <a14:compatExt spid="_x0000_s15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449580</xdr:colOff>
          <xdr:row>1</xdr:row>
          <xdr:rowOff>144780</xdr:rowOff>
        </xdr:from>
        <xdr:to>
          <xdr:col>5</xdr:col>
          <xdr:colOff>541020</xdr:colOff>
          <xdr:row>3</xdr:row>
          <xdr:rowOff>83820</xdr:rowOff>
        </xdr:to>
        <xdr:sp macro="" textlink="">
          <xdr:nvSpPr>
            <xdr:cNvPr id="15380" name="Button 20" hidden="1">
              <a:extLst>
                <a:ext uri="{63B3BB69-23CF-44E3-9099-C40C66FF867C}">
                  <a14:compatExt spid="_x0000_s1538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en-US" sz="1100" b="1" i="0" u="none" strike="noStrike" baseline="0">
                  <a:solidFill>
                    <a:srgbClr val="000000"/>
                  </a:solidFill>
                  <a:latin typeface="Arial"/>
                  <a:cs typeface="Arial"/>
                </a:rPr>
                <a:t>Palauta oletukset</a:t>
              </a:r>
            </a:p>
            <a:p>
              <a:pPr algn="ctr" rtl="0">
                <a:defRPr sz="1000"/>
              </a:pPr>
              <a:endParaRPr lang="en-US" sz="1100" b="1" i="0" u="none" strike="noStrike" baseline="0">
                <a:solidFill>
                  <a:srgbClr val="000000"/>
                </a:solidFill>
                <a:latin typeface="Arial"/>
                <a:cs typeface="Arial"/>
              </a:endParaRPr>
            </a:p>
          </xdr:txBody>
        </xdr:sp>
        <xdr:clientData fPrintsWithSheet="0"/>
      </xdr:twoCellAnchor>
    </mc:Choice>
    <mc:Fallback/>
  </mc:AlternateContent>
  <xdr:twoCellAnchor editAs="oneCell">
    <xdr:from>
      <xdr:col>6</xdr:col>
      <xdr:colOff>257175</xdr:colOff>
      <xdr:row>0</xdr:row>
      <xdr:rowOff>19050</xdr:rowOff>
    </xdr:from>
    <xdr:to>
      <xdr:col>7</xdr:col>
      <xdr:colOff>647700</xdr:colOff>
      <xdr:row>6</xdr:row>
      <xdr:rowOff>99939</xdr:rowOff>
    </xdr:to>
    <xdr:pic>
      <xdr:nvPicPr>
        <xdr:cNvPr id="2" name="Kuva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91575" y="1314450"/>
          <a:ext cx="1285875" cy="105243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47625</xdr:colOff>
      <xdr:row>0</xdr:row>
      <xdr:rowOff>123825</xdr:rowOff>
    </xdr:from>
    <xdr:to>
      <xdr:col>5</xdr:col>
      <xdr:colOff>831971</xdr:colOff>
      <xdr:row>3</xdr:row>
      <xdr:rowOff>177024</xdr:rowOff>
    </xdr:to>
    <xdr:pic>
      <xdr:nvPicPr>
        <xdr:cNvPr id="2" name="Kuva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15075" y="123825"/>
          <a:ext cx="784346" cy="64374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12</xdr:col>
      <xdr:colOff>589988</xdr:colOff>
      <xdr:row>86</xdr:row>
      <xdr:rowOff>66394</xdr:rowOff>
    </xdr:from>
    <xdr:to>
      <xdr:col>20</xdr:col>
      <xdr:colOff>302558</xdr:colOff>
      <xdr:row>105</xdr:row>
      <xdr:rowOff>71157</xdr:rowOff>
    </xdr:to>
    <xdr:graphicFrame macro="">
      <xdr:nvGraphicFramePr>
        <xdr:cNvPr id="5" name="Kaavi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627529</xdr:colOff>
      <xdr:row>108</xdr:row>
      <xdr:rowOff>79561</xdr:rowOff>
    </xdr:from>
    <xdr:to>
      <xdr:col>20</xdr:col>
      <xdr:colOff>246530</xdr:colOff>
      <xdr:row>125</xdr:row>
      <xdr:rowOff>155761</xdr:rowOff>
    </xdr:to>
    <xdr:graphicFrame macro="">
      <xdr:nvGraphicFramePr>
        <xdr:cNvPr id="3" name="Kaavi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12</xdr:col>
      <xdr:colOff>515469</xdr:colOff>
      <xdr:row>129</xdr:row>
      <xdr:rowOff>23530</xdr:rowOff>
    </xdr:from>
    <xdr:to>
      <xdr:col>20</xdr:col>
      <xdr:colOff>246529</xdr:colOff>
      <xdr:row>150</xdr:row>
      <xdr:rowOff>156881</xdr:rowOff>
    </xdr:to>
    <xdr:graphicFrame macro="">
      <xdr:nvGraphicFramePr>
        <xdr:cNvPr id="4" name="Kaavio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32</xdr:row>
      <xdr:rowOff>0</xdr:rowOff>
    </xdr:from>
    <xdr:to>
      <xdr:col>7</xdr:col>
      <xdr:colOff>228600</xdr:colOff>
      <xdr:row>62</xdr:row>
      <xdr:rowOff>47625</xdr:rowOff>
    </xdr:to>
    <xdr:pic>
      <xdr:nvPicPr>
        <xdr:cNvPr id="2" name="Kuva 1"/>
        <xdr:cNvPicPr>
          <a:picLocks noChangeAspect="1"/>
        </xdr:cNvPicPr>
      </xdr:nvPicPr>
      <xdr:blipFill>
        <a:blip xmlns:r="http://schemas.openxmlformats.org/officeDocument/2006/relationships" r:embed="rId1"/>
        <a:stretch>
          <a:fillRect/>
        </a:stretch>
      </xdr:blipFill>
      <xdr:spPr>
        <a:xfrm>
          <a:off x="609600" y="4762500"/>
          <a:ext cx="6096000" cy="4905375"/>
        </a:xfrm>
        <a:prstGeom prst="rect">
          <a:avLst/>
        </a:prstGeom>
      </xdr:spPr>
    </xdr:pic>
    <xdr:clientData/>
  </xdr:twoCellAnchor>
  <xdr:twoCellAnchor editAs="oneCell">
    <xdr:from>
      <xdr:col>10</xdr:col>
      <xdr:colOff>247650</xdr:colOff>
      <xdr:row>32</xdr:row>
      <xdr:rowOff>142875</xdr:rowOff>
    </xdr:from>
    <xdr:to>
      <xdr:col>20</xdr:col>
      <xdr:colOff>142875</xdr:colOff>
      <xdr:row>62</xdr:row>
      <xdr:rowOff>85725</xdr:rowOff>
    </xdr:to>
    <xdr:pic>
      <xdr:nvPicPr>
        <xdr:cNvPr id="3" name="Kuva 2"/>
        <xdr:cNvPicPr>
          <a:picLocks noChangeAspect="1"/>
        </xdr:cNvPicPr>
      </xdr:nvPicPr>
      <xdr:blipFill>
        <a:blip xmlns:r="http://schemas.openxmlformats.org/officeDocument/2006/relationships" r:embed="rId2"/>
        <a:stretch>
          <a:fillRect/>
        </a:stretch>
      </xdr:blipFill>
      <xdr:spPr>
        <a:xfrm>
          <a:off x="8362950" y="4905375"/>
          <a:ext cx="5991225" cy="48006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15</xdr:row>
      <xdr:rowOff>0</xdr:rowOff>
    </xdr:from>
    <xdr:to>
      <xdr:col>9</xdr:col>
      <xdr:colOff>504825</xdr:colOff>
      <xdr:row>44</xdr:row>
      <xdr:rowOff>104775</xdr:rowOff>
    </xdr:to>
    <xdr:pic>
      <xdr:nvPicPr>
        <xdr:cNvPr id="2" name="Kuva 1"/>
        <xdr:cNvPicPr>
          <a:picLocks noChangeAspect="1"/>
        </xdr:cNvPicPr>
      </xdr:nvPicPr>
      <xdr:blipFill>
        <a:blip xmlns:r="http://schemas.openxmlformats.org/officeDocument/2006/relationships" r:embed="rId1"/>
        <a:stretch>
          <a:fillRect/>
        </a:stretch>
      </xdr:blipFill>
      <xdr:spPr>
        <a:xfrm>
          <a:off x="609600" y="2000250"/>
          <a:ext cx="5991225" cy="48006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252691</xdr:colOff>
      <xdr:row>51</xdr:row>
      <xdr:rowOff>112061</xdr:rowOff>
    </xdr:from>
    <xdr:to>
      <xdr:col>3</xdr:col>
      <xdr:colOff>201705</xdr:colOff>
      <xdr:row>69</xdr:row>
      <xdr:rowOff>134468</xdr:rowOff>
    </xdr:to>
    <xdr:graphicFrame macro="">
      <xdr:nvGraphicFramePr>
        <xdr:cNvPr id="5" name="Kaavio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155201</xdr:colOff>
      <xdr:row>30</xdr:row>
      <xdr:rowOff>56027</xdr:rowOff>
    </xdr:from>
    <xdr:to>
      <xdr:col>3</xdr:col>
      <xdr:colOff>100851</xdr:colOff>
      <xdr:row>48</xdr:row>
      <xdr:rowOff>11205</xdr:rowOff>
    </xdr:to>
    <xdr:graphicFrame macro="">
      <xdr:nvGraphicFramePr>
        <xdr:cNvPr id="6" name="Kaavio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190502</xdr:colOff>
      <xdr:row>10</xdr:row>
      <xdr:rowOff>56029</xdr:rowOff>
    </xdr:from>
    <xdr:to>
      <xdr:col>3</xdr:col>
      <xdr:colOff>168089</xdr:colOff>
      <xdr:row>28</xdr:row>
      <xdr:rowOff>78440</xdr:rowOff>
    </xdr:to>
    <xdr:graphicFrame macro="">
      <xdr:nvGraphicFramePr>
        <xdr:cNvPr id="11" name="Kaavio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0</xdr:col>
      <xdr:colOff>201706</xdr:colOff>
      <xdr:row>0</xdr:row>
      <xdr:rowOff>78444</xdr:rowOff>
    </xdr:from>
    <xdr:to>
      <xdr:col>1</xdr:col>
      <xdr:colOff>358588</xdr:colOff>
      <xdr:row>2</xdr:row>
      <xdr:rowOff>259180</xdr:rowOff>
    </xdr:to>
    <xdr:pic>
      <xdr:nvPicPr>
        <xdr:cNvPr id="7" name="Kuva 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01706" y="235326"/>
          <a:ext cx="762000" cy="628971"/>
        </a:xfrm>
        <a:prstGeom prst="rect">
          <a:avLst/>
        </a:prstGeom>
      </xdr:spPr>
    </xdr:pic>
    <xdr:clientData/>
  </xdr:twoCellAnchor>
  <xdr:twoCellAnchor>
    <xdr:from>
      <xdr:col>0</xdr:col>
      <xdr:colOff>313764</xdr:colOff>
      <xdr:row>73</xdr:row>
      <xdr:rowOff>22412</xdr:rowOff>
    </xdr:from>
    <xdr:to>
      <xdr:col>3</xdr:col>
      <xdr:colOff>201706</xdr:colOff>
      <xdr:row>91</xdr:row>
      <xdr:rowOff>44819</xdr:rowOff>
    </xdr:to>
    <xdr:graphicFrame macro="">
      <xdr:nvGraphicFramePr>
        <xdr:cNvPr id="8" name="Kaavio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ul3"/>
  <dimension ref="A1:M46"/>
  <sheetViews>
    <sheetView tabSelected="1" zoomScaleNormal="100" zoomScaleSheetLayoutView="100" workbookViewId="0"/>
  </sheetViews>
  <sheetFormatPr defaultRowHeight="13.2" x14ac:dyDescent="0.25"/>
  <cols>
    <col min="1" max="9" width="9.109375" customWidth="1"/>
    <col min="10" max="10" width="7.77734375" customWidth="1"/>
    <col min="11" max="12" width="9.109375" customWidth="1"/>
  </cols>
  <sheetData>
    <row r="1" spans="1:13" ht="15.9" customHeight="1" x14ac:dyDescent="0.25">
      <c r="B1" s="135"/>
      <c r="C1" s="135"/>
      <c r="D1" s="135"/>
      <c r="E1" s="135"/>
      <c r="F1" s="135"/>
      <c r="G1" s="135"/>
      <c r="H1" s="135"/>
      <c r="I1" s="135"/>
      <c r="J1" s="135"/>
    </row>
    <row r="2" spans="1:13" ht="15.9" customHeight="1" x14ac:dyDescent="0.25">
      <c r="A2" s="135"/>
      <c r="B2" s="135"/>
      <c r="C2" s="135"/>
      <c r="D2" s="135"/>
      <c r="E2" s="135"/>
      <c r="F2" s="135"/>
      <c r="G2" s="135"/>
      <c r="H2" s="135"/>
      <c r="I2" s="135"/>
      <c r="J2" s="135"/>
    </row>
    <row r="3" spans="1:13" ht="15.75" customHeight="1" x14ac:dyDescent="0.25">
      <c r="A3" s="135"/>
      <c r="B3" s="135"/>
      <c r="C3" s="135"/>
      <c r="D3" s="135"/>
      <c r="E3" s="135"/>
      <c r="F3" s="135"/>
      <c r="G3" s="135"/>
      <c r="H3" s="136" t="s">
        <v>249</v>
      </c>
      <c r="I3" s="135"/>
      <c r="J3" s="135"/>
    </row>
    <row r="4" spans="1:13" ht="39" customHeight="1" x14ac:dyDescent="0.25">
      <c r="A4" s="135"/>
      <c r="B4" s="135"/>
      <c r="C4" s="135"/>
      <c r="D4" s="135"/>
      <c r="E4" s="135"/>
      <c r="F4" s="135"/>
      <c r="G4" s="135"/>
      <c r="H4" s="135"/>
      <c r="I4" s="135"/>
      <c r="J4" s="135"/>
    </row>
    <row r="5" spans="1:13" ht="39" customHeight="1" x14ac:dyDescent="0.25">
      <c r="A5" s="135"/>
      <c r="B5" s="135"/>
      <c r="C5" s="135"/>
      <c r="D5" s="135"/>
      <c r="E5" s="135"/>
      <c r="F5" s="135"/>
      <c r="G5" s="135"/>
      <c r="H5" s="135"/>
      <c r="I5" s="135"/>
      <c r="J5" s="135"/>
    </row>
    <row r="6" spans="1:13" ht="18" customHeight="1" x14ac:dyDescent="0.3">
      <c r="A6" s="135"/>
      <c r="B6" s="239" t="s">
        <v>206</v>
      </c>
      <c r="C6" s="135"/>
      <c r="D6" s="135"/>
      <c r="E6" s="135"/>
      <c r="F6" s="135"/>
      <c r="G6" s="135"/>
      <c r="H6" s="135"/>
      <c r="I6" s="135"/>
      <c r="J6" s="135"/>
      <c r="K6" s="210"/>
      <c r="L6" s="210"/>
    </row>
    <row r="7" spans="1:13" ht="18" customHeight="1" x14ac:dyDescent="0.25">
      <c r="A7" s="135"/>
      <c r="B7" s="135"/>
      <c r="C7" s="135"/>
      <c r="D7" s="135"/>
      <c r="E7" s="135"/>
      <c r="F7" s="135"/>
      <c r="G7" s="135"/>
      <c r="H7" s="135"/>
      <c r="I7" s="135"/>
      <c r="J7" s="135"/>
      <c r="K7" s="210"/>
      <c r="L7" s="210"/>
    </row>
    <row r="8" spans="1:13" ht="15.9" customHeight="1" x14ac:dyDescent="0.3">
      <c r="A8" s="135"/>
      <c r="B8" s="298" t="s">
        <v>213</v>
      </c>
      <c r="C8" s="299"/>
      <c r="D8" s="299"/>
      <c r="E8" s="299"/>
      <c r="F8" s="299"/>
      <c r="G8" s="299"/>
      <c r="H8" s="299"/>
      <c r="I8" s="299"/>
      <c r="J8" s="300"/>
      <c r="K8" s="81"/>
      <c r="L8" s="81"/>
    </row>
    <row r="9" spans="1:13" s="212" customFormat="1" ht="15.9" customHeight="1" x14ac:dyDescent="0.25">
      <c r="A9" s="238"/>
      <c r="B9" s="301"/>
      <c r="C9" s="302"/>
      <c r="D9" s="302"/>
      <c r="E9" s="302"/>
      <c r="F9" s="302"/>
      <c r="G9" s="302"/>
      <c r="H9" s="302"/>
      <c r="I9" s="302"/>
      <c r="J9" s="303"/>
      <c r="K9" s="213"/>
      <c r="L9" s="213"/>
      <c r="M9" s="211"/>
    </row>
    <row r="10" spans="1:13" s="212" customFormat="1" ht="15.9" customHeight="1" x14ac:dyDescent="0.25">
      <c r="A10" s="135"/>
      <c r="B10" s="301"/>
      <c r="C10" s="302"/>
      <c r="D10" s="302"/>
      <c r="E10" s="302"/>
      <c r="F10" s="302"/>
      <c r="G10" s="302"/>
      <c r="H10" s="302"/>
      <c r="I10" s="302"/>
      <c r="J10" s="303"/>
      <c r="K10" s="213"/>
      <c r="L10" s="213"/>
      <c r="M10" s="211"/>
    </row>
    <row r="11" spans="1:13" s="212" customFormat="1" ht="15.9" customHeight="1" x14ac:dyDescent="0.25">
      <c r="A11" s="135"/>
      <c r="B11" s="301"/>
      <c r="C11" s="302"/>
      <c r="D11" s="302"/>
      <c r="E11" s="302"/>
      <c r="F11" s="302"/>
      <c r="G11" s="302"/>
      <c r="H11" s="302"/>
      <c r="I11" s="302"/>
      <c r="J11" s="303"/>
      <c r="K11" s="213"/>
      <c r="L11" s="213"/>
      <c r="M11" s="211"/>
    </row>
    <row r="12" spans="1:13" s="212" customFormat="1" ht="15.9" customHeight="1" x14ac:dyDescent="0.25">
      <c r="A12" s="238"/>
      <c r="B12" s="301"/>
      <c r="C12" s="302"/>
      <c r="D12" s="302"/>
      <c r="E12" s="302"/>
      <c r="F12" s="302"/>
      <c r="G12" s="302"/>
      <c r="H12" s="302"/>
      <c r="I12" s="302"/>
      <c r="J12" s="303"/>
      <c r="K12" s="213"/>
      <c r="L12" s="213"/>
      <c r="M12" s="211"/>
    </row>
    <row r="13" spans="1:13" s="212" customFormat="1" ht="15.9" customHeight="1" x14ac:dyDescent="0.25">
      <c r="A13" s="135"/>
      <c r="B13" s="301"/>
      <c r="C13" s="302"/>
      <c r="D13" s="302"/>
      <c r="E13" s="302"/>
      <c r="F13" s="302"/>
      <c r="G13" s="302"/>
      <c r="H13" s="302"/>
      <c r="I13" s="302"/>
      <c r="J13" s="303"/>
      <c r="K13" s="213"/>
      <c r="L13" s="213"/>
      <c r="M13" s="211"/>
    </row>
    <row r="14" spans="1:13" s="212" customFormat="1" ht="15.9" customHeight="1" x14ac:dyDescent="0.25">
      <c r="A14" s="135"/>
      <c r="B14" s="301"/>
      <c r="C14" s="302"/>
      <c r="D14" s="302"/>
      <c r="E14" s="302"/>
      <c r="F14" s="302"/>
      <c r="G14" s="302"/>
      <c r="H14" s="302"/>
      <c r="I14" s="302"/>
      <c r="J14" s="303"/>
      <c r="K14" s="213"/>
      <c r="L14" s="213"/>
      <c r="M14" s="211"/>
    </row>
    <row r="15" spans="1:13" s="212" customFormat="1" ht="15.9" customHeight="1" x14ac:dyDescent="0.25">
      <c r="A15" s="238"/>
      <c r="B15" s="301"/>
      <c r="C15" s="302"/>
      <c r="D15" s="302"/>
      <c r="E15" s="302"/>
      <c r="F15" s="302"/>
      <c r="G15" s="302"/>
      <c r="H15" s="302"/>
      <c r="I15" s="302"/>
      <c r="J15" s="303"/>
      <c r="K15" s="213"/>
      <c r="L15" s="213"/>
      <c r="M15" s="211"/>
    </row>
    <row r="16" spans="1:13" s="212" customFormat="1" ht="15.9" customHeight="1" x14ac:dyDescent="0.25">
      <c r="A16" s="135"/>
      <c r="B16" s="122"/>
      <c r="C16" s="123"/>
      <c r="D16" s="123"/>
      <c r="E16" s="123"/>
      <c r="F16" s="123"/>
      <c r="G16" s="123"/>
      <c r="H16" s="123"/>
      <c r="I16" s="123"/>
      <c r="J16" s="125"/>
      <c r="K16" s="214"/>
      <c r="L16" s="214"/>
      <c r="M16" s="211"/>
    </row>
    <row r="17" spans="1:13" s="212" customFormat="1" ht="15.9" customHeight="1" x14ac:dyDescent="0.25">
      <c r="A17" s="135"/>
      <c r="B17" s="301" t="s">
        <v>211</v>
      </c>
      <c r="C17" s="302"/>
      <c r="D17" s="302"/>
      <c r="E17" s="302"/>
      <c r="F17" s="302"/>
      <c r="G17" s="302"/>
      <c r="H17" s="302"/>
      <c r="I17" s="302"/>
      <c r="J17" s="303"/>
      <c r="K17" s="213"/>
      <c r="L17" s="213"/>
      <c r="M17" s="211"/>
    </row>
    <row r="18" spans="1:13" s="212" customFormat="1" ht="15.9" customHeight="1" x14ac:dyDescent="0.25">
      <c r="A18" s="238"/>
      <c r="B18" s="301"/>
      <c r="C18" s="302"/>
      <c r="D18" s="302"/>
      <c r="E18" s="302"/>
      <c r="F18" s="302"/>
      <c r="G18" s="302"/>
      <c r="H18" s="302"/>
      <c r="I18" s="302"/>
      <c r="J18" s="303"/>
      <c r="K18" s="213"/>
      <c r="L18" s="213"/>
      <c r="M18" s="211"/>
    </row>
    <row r="19" spans="1:13" s="212" customFormat="1" ht="15.9" customHeight="1" x14ac:dyDescent="0.25">
      <c r="A19" s="135"/>
      <c r="B19" s="301"/>
      <c r="C19" s="302"/>
      <c r="D19" s="302"/>
      <c r="E19" s="302"/>
      <c r="F19" s="302"/>
      <c r="G19" s="302"/>
      <c r="H19" s="302"/>
      <c r="I19" s="302"/>
      <c r="J19" s="303"/>
      <c r="K19" s="213"/>
      <c r="L19" s="213"/>
      <c r="M19" s="211"/>
    </row>
    <row r="20" spans="1:13" s="212" customFormat="1" ht="15.9" customHeight="1" x14ac:dyDescent="0.25">
      <c r="A20" s="135"/>
      <c r="B20" s="301"/>
      <c r="C20" s="302"/>
      <c r="D20" s="302"/>
      <c r="E20" s="302"/>
      <c r="F20" s="302"/>
      <c r="G20" s="302"/>
      <c r="H20" s="302"/>
      <c r="I20" s="302"/>
      <c r="J20" s="303"/>
      <c r="K20" s="215"/>
      <c r="L20" s="215"/>
      <c r="M20" s="211"/>
    </row>
    <row r="21" spans="1:13" s="212" customFormat="1" ht="15.9" customHeight="1" x14ac:dyDescent="0.25">
      <c r="A21" s="238"/>
      <c r="B21" s="301"/>
      <c r="C21" s="302"/>
      <c r="D21" s="302"/>
      <c r="E21" s="302"/>
      <c r="F21" s="302"/>
      <c r="G21" s="302"/>
      <c r="H21" s="302"/>
      <c r="I21" s="302"/>
      <c r="J21" s="303"/>
      <c r="K21" s="215"/>
      <c r="L21" s="215"/>
      <c r="M21" s="211"/>
    </row>
    <row r="22" spans="1:13" s="212" customFormat="1" ht="15.9" customHeight="1" x14ac:dyDescent="0.25">
      <c r="A22" s="135"/>
      <c r="B22" s="301"/>
      <c r="C22" s="302"/>
      <c r="D22" s="302"/>
      <c r="E22" s="302"/>
      <c r="F22" s="302"/>
      <c r="G22" s="302"/>
      <c r="H22" s="302"/>
      <c r="I22" s="302"/>
      <c r="J22" s="303"/>
      <c r="K22" s="213"/>
      <c r="L22" s="213"/>
      <c r="M22" s="211"/>
    </row>
    <row r="23" spans="1:13" s="212" customFormat="1" ht="15.9" customHeight="1" x14ac:dyDescent="0.25">
      <c r="A23" s="135"/>
      <c r="B23" s="122"/>
      <c r="C23" s="123"/>
      <c r="D23" s="123"/>
      <c r="E23" s="123"/>
      <c r="F23" s="123"/>
      <c r="G23" s="123"/>
      <c r="H23" s="123"/>
      <c r="I23" s="123"/>
      <c r="J23" s="125"/>
      <c r="K23" s="213"/>
      <c r="L23" s="213"/>
      <c r="M23" s="211"/>
    </row>
    <row r="24" spans="1:13" s="212" customFormat="1" ht="15.9" customHeight="1" x14ac:dyDescent="0.25">
      <c r="A24" s="238"/>
      <c r="B24" s="301" t="s">
        <v>214</v>
      </c>
      <c r="C24" s="302"/>
      <c r="D24" s="302"/>
      <c r="E24" s="302"/>
      <c r="F24" s="302"/>
      <c r="G24" s="302"/>
      <c r="H24" s="302"/>
      <c r="I24" s="302"/>
      <c r="J24" s="303"/>
      <c r="K24" s="213"/>
      <c r="L24" s="213"/>
      <c r="M24" s="211"/>
    </row>
    <row r="25" spans="1:13" s="212" customFormat="1" ht="15.9" customHeight="1" x14ac:dyDescent="0.25">
      <c r="A25" s="135"/>
      <c r="B25" s="301"/>
      <c r="C25" s="302"/>
      <c r="D25" s="302"/>
      <c r="E25" s="302"/>
      <c r="F25" s="302"/>
      <c r="G25" s="302"/>
      <c r="H25" s="302"/>
      <c r="I25" s="302"/>
      <c r="J25" s="303"/>
      <c r="K25" s="213"/>
      <c r="L25" s="213"/>
      <c r="M25" s="211"/>
    </row>
    <row r="26" spans="1:13" ht="15.9" customHeight="1" x14ac:dyDescent="0.25">
      <c r="A26" s="135"/>
      <c r="B26" s="301"/>
      <c r="C26" s="302"/>
      <c r="D26" s="302"/>
      <c r="E26" s="302"/>
      <c r="F26" s="302"/>
      <c r="G26" s="302"/>
      <c r="H26" s="302"/>
      <c r="I26" s="302"/>
      <c r="J26" s="303"/>
      <c r="K26" s="213"/>
      <c r="L26" s="213"/>
      <c r="M26" s="94"/>
    </row>
    <row r="27" spans="1:13" ht="15.9" customHeight="1" x14ac:dyDescent="0.25">
      <c r="A27" s="238"/>
      <c r="B27" s="301"/>
      <c r="C27" s="302"/>
      <c r="D27" s="302"/>
      <c r="E27" s="302"/>
      <c r="F27" s="302"/>
      <c r="G27" s="302"/>
      <c r="H27" s="302"/>
      <c r="I27" s="302"/>
      <c r="J27" s="303"/>
      <c r="K27" s="213"/>
      <c r="L27" s="213"/>
    </row>
    <row r="28" spans="1:13" ht="15.9" customHeight="1" x14ac:dyDescent="0.25">
      <c r="A28" s="135"/>
      <c r="B28" s="122"/>
      <c r="C28" s="123"/>
      <c r="D28" s="123"/>
      <c r="E28" s="123"/>
      <c r="F28" s="123"/>
      <c r="G28" s="123"/>
      <c r="H28" s="123"/>
      <c r="I28" s="123"/>
      <c r="J28" s="125"/>
      <c r="K28" s="213"/>
      <c r="L28" s="213"/>
    </row>
    <row r="29" spans="1:13" ht="15.9" customHeight="1" x14ac:dyDescent="0.25">
      <c r="A29" s="135"/>
      <c r="B29" s="304" t="s">
        <v>216</v>
      </c>
      <c r="C29" s="305"/>
      <c r="D29" s="305"/>
      <c r="E29" s="305"/>
      <c r="F29" s="305"/>
      <c r="G29" s="305"/>
      <c r="H29" s="305"/>
      <c r="I29" s="305"/>
      <c r="J29" s="306"/>
      <c r="K29" s="213"/>
      <c r="L29" s="213"/>
    </row>
    <row r="30" spans="1:13" ht="15.9" customHeight="1" x14ac:dyDescent="0.25">
      <c r="A30" s="238"/>
      <c r="B30" s="304"/>
      <c r="C30" s="305"/>
      <c r="D30" s="305"/>
      <c r="E30" s="305"/>
      <c r="F30" s="305"/>
      <c r="G30" s="305"/>
      <c r="H30" s="305"/>
      <c r="I30" s="305"/>
      <c r="J30" s="306"/>
      <c r="K30" s="213"/>
      <c r="L30" s="213"/>
    </row>
    <row r="31" spans="1:13" ht="15.9" customHeight="1" x14ac:dyDescent="0.25">
      <c r="A31" s="135"/>
      <c r="B31" s="304"/>
      <c r="C31" s="305"/>
      <c r="D31" s="305"/>
      <c r="E31" s="305"/>
      <c r="F31" s="305"/>
      <c r="G31" s="305"/>
      <c r="H31" s="305"/>
      <c r="I31" s="305"/>
      <c r="J31" s="306"/>
      <c r="K31" s="213"/>
      <c r="L31" s="213"/>
    </row>
    <row r="32" spans="1:13" ht="15.9" customHeight="1" x14ac:dyDescent="0.3">
      <c r="A32" s="135"/>
      <c r="B32" s="304"/>
      <c r="C32" s="305"/>
      <c r="D32" s="305"/>
      <c r="E32" s="305"/>
      <c r="F32" s="305"/>
      <c r="G32" s="305"/>
      <c r="H32" s="305"/>
      <c r="I32" s="305"/>
      <c r="J32" s="306"/>
      <c r="K32" s="81"/>
      <c r="L32" s="81"/>
    </row>
    <row r="33" spans="1:12" ht="15.9" customHeight="1" x14ac:dyDescent="0.3">
      <c r="A33" s="238"/>
      <c r="B33" s="304"/>
      <c r="C33" s="305"/>
      <c r="D33" s="305"/>
      <c r="E33" s="305"/>
      <c r="F33" s="305"/>
      <c r="G33" s="305"/>
      <c r="H33" s="305"/>
      <c r="I33" s="305"/>
      <c r="J33" s="306"/>
      <c r="K33" s="81"/>
      <c r="L33" s="81"/>
    </row>
    <row r="34" spans="1:12" ht="15.9" customHeight="1" x14ac:dyDescent="0.3">
      <c r="A34" s="135"/>
      <c r="B34" s="304"/>
      <c r="C34" s="305"/>
      <c r="D34" s="305"/>
      <c r="E34" s="305"/>
      <c r="F34" s="305"/>
      <c r="G34" s="305"/>
      <c r="H34" s="305"/>
      <c r="I34" s="305"/>
      <c r="J34" s="306"/>
      <c r="K34" s="81"/>
      <c r="L34" s="81"/>
    </row>
    <row r="35" spans="1:12" ht="15.9" customHeight="1" x14ac:dyDescent="0.3">
      <c r="A35" s="135"/>
      <c r="B35" s="307"/>
      <c r="C35" s="308"/>
      <c r="D35" s="308"/>
      <c r="E35" s="308"/>
      <c r="F35" s="308"/>
      <c r="G35" s="308"/>
      <c r="H35" s="308"/>
      <c r="I35" s="308"/>
      <c r="J35" s="309"/>
      <c r="K35" s="81"/>
      <c r="L35" s="81"/>
    </row>
    <row r="36" spans="1:12" ht="15.9" customHeight="1" x14ac:dyDescent="0.3">
      <c r="A36" s="135"/>
      <c r="B36" s="123"/>
      <c r="C36" s="123"/>
      <c r="D36" s="123"/>
      <c r="E36" s="123"/>
      <c r="F36" s="123"/>
      <c r="G36" s="123"/>
      <c r="H36" s="123"/>
      <c r="I36" s="123"/>
      <c r="J36" s="135"/>
      <c r="K36" s="81"/>
      <c r="L36" s="81"/>
    </row>
    <row r="37" spans="1:12" ht="15.9" customHeight="1" x14ac:dyDescent="0.25">
      <c r="A37" s="135"/>
      <c r="B37" s="302" t="s">
        <v>212</v>
      </c>
      <c r="C37" s="302"/>
      <c r="D37" s="302"/>
      <c r="E37" s="302"/>
      <c r="F37" s="302"/>
      <c r="G37" s="302"/>
      <c r="H37" s="302"/>
      <c r="I37" s="302"/>
      <c r="J37" s="135"/>
      <c r="K37" s="213"/>
      <c r="L37" s="213"/>
    </row>
    <row r="38" spans="1:12" ht="15.9" customHeight="1" x14ac:dyDescent="0.3">
      <c r="A38" s="135"/>
      <c r="B38" s="135"/>
      <c r="C38" s="135"/>
      <c r="D38" s="135"/>
      <c r="E38" s="135"/>
      <c r="F38" s="135"/>
      <c r="G38" s="135"/>
      <c r="H38" s="135"/>
      <c r="I38" s="135"/>
      <c r="J38" s="135"/>
      <c r="K38" s="81"/>
      <c r="L38" s="81"/>
    </row>
    <row r="39" spans="1:12" ht="15.9" customHeight="1" x14ac:dyDescent="0.25">
      <c r="A39" s="210"/>
      <c r="B39" s="210"/>
      <c r="C39" s="210"/>
      <c r="D39" s="210"/>
      <c r="E39" s="210"/>
      <c r="F39" s="210"/>
      <c r="G39" s="210"/>
      <c r="H39" s="210"/>
      <c r="I39" s="210"/>
    </row>
    <row r="40" spans="1:12" ht="15.9" customHeight="1" x14ac:dyDescent="0.25">
      <c r="A40" s="210"/>
      <c r="B40" s="210"/>
      <c r="C40" s="210"/>
      <c r="D40" s="210"/>
      <c r="E40" s="210"/>
      <c r="F40" s="210"/>
      <c r="G40" s="210"/>
      <c r="H40" s="210"/>
      <c r="I40" s="210"/>
    </row>
    <row r="41" spans="1:12" ht="15.9" customHeight="1" x14ac:dyDescent="0.25">
      <c r="A41" s="210"/>
      <c r="B41" s="210"/>
      <c r="C41" s="210"/>
      <c r="D41" s="210"/>
      <c r="E41" s="210"/>
      <c r="F41" s="210"/>
      <c r="G41" s="210"/>
      <c r="H41" s="210"/>
      <c r="I41" s="210"/>
    </row>
    <row r="42" spans="1:12" ht="15.9" customHeight="1" x14ac:dyDescent="0.25">
      <c r="A42" s="210"/>
      <c r="B42" s="210"/>
      <c r="C42" s="210"/>
      <c r="D42" s="210"/>
      <c r="E42" s="210"/>
      <c r="F42" s="210"/>
      <c r="G42" s="210"/>
      <c r="H42" s="210"/>
      <c r="I42" s="210"/>
    </row>
    <row r="43" spans="1:12" ht="15.9" customHeight="1" x14ac:dyDescent="0.25">
      <c r="A43" s="210"/>
      <c r="B43" s="210"/>
      <c r="C43" s="210"/>
      <c r="D43" s="210"/>
      <c r="E43" s="210"/>
      <c r="F43" s="210"/>
      <c r="G43" s="210"/>
      <c r="H43" s="210"/>
      <c r="I43" s="210"/>
    </row>
    <row r="44" spans="1:12" ht="15.9" customHeight="1" x14ac:dyDescent="0.25">
      <c r="A44" s="210"/>
      <c r="B44" s="210"/>
      <c r="C44" s="210"/>
      <c r="D44" s="210"/>
      <c r="E44" s="210"/>
      <c r="F44" s="210"/>
      <c r="G44" s="210"/>
      <c r="H44" s="210"/>
      <c r="I44" s="210"/>
    </row>
    <row r="45" spans="1:12" ht="15.9" customHeight="1" x14ac:dyDescent="0.25"/>
    <row r="46" spans="1:12" ht="15.9" customHeight="1" x14ac:dyDescent="0.25"/>
  </sheetData>
  <sheetProtection password="F5F2" sheet="1" objects="1" scenarios="1"/>
  <mergeCells count="5">
    <mergeCell ref="B8:J15"/>
    <mergeCell ref="B17:J22"/>
    <mergeCell ref="B24:J27"/>
    <mergeCell ref="B29:J35"/>
    <mergeCell ref="B37:I37"/>
  </mergeCells>
  <pageMargins left="0.7" right="0.7" top="0.75" bottom="0.75" header="0.3" footer="0.3"/>
  <pageSetup paperSize="9" scale="97" orientation="portrait" r:id="rId1"/>
  <headerFooter>
    <oddHeader>&amp;Cwww.luke.fi/mariski</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ul1"/>
  <dimension ref="B1:AA1027"/>
  <sheetViews>
    <sheetView zoomScale="70" zoomScaleNormal="70" workbookViewId="0">
      <selection activeCell="D4" sqref="D4"/>
    </sheetView>
  </sheetViews>
  <sheetFormatPr defaultRowHeight="13.2" x14ac:dyDescent="0.25"/>
  <cols>
    <col min="1" max="1" width="12" bestFit="1" customWidth="1"/>
    <col min="2" max="2" width="90.5546875" bestFit="1" customWidth="1"/>
    <col min="3" max="3" width="31.5546875" style="67" customWidth="1"/>
    <col min="4" max="4" width="31.5546875" style="36" customWidth="1"/>
    <col min="5" max="6" width="31.5546875" style="67" customWidth="1"/>
    <col min="7" max="7" width="11.6640625" customWidth="1"/>
    <col min="8" max="8" width="23.5546875" customWidth="1"/>
    <col min="9" max="9" width="16.6640625" customWidth="1"/>
    <col min="10" max="10" width="30.44140625" bestFit="1" customWidth="1"/>
    <col min="20" max="20" width="18.5546875" customWidth="1"/>
  </cols>
  <sheetData>
    <row r="1" spans="2:25" x14ac:dyDescent="0.25">
      <c r="C1" s="66" t="s">
        <v>165</v>
      </c>
      <c r="D1" s="66" t="s">
        <v>164</v>
      </c>
      <c r="E1" s="66" t="s">
        <v>162</v>
      </c>
      <c r="F1" s="66" t="s">
        <v>163</v>
      </c>
    </row>
    <row r="2" spans="2:25" x14ac:dyDescent="0.25">
      <c r="C2" s="67">
        <v>1</v>
      </c>
      <c r="D2" s="67">
        <v>2</v>
      </c>
      <c r="E2" s="67">
        <v>3</v>
      </c>
      <c r="F2" s="66">
        <v>4</v>
      </c>
    </row>
    <row r="3" spans="2:25" ht="14.4" x14ac:dyDescent="0.3">
      <c r="B3" s="39" t="s">
        <v>11</v>
      </c>
      <c r="C3" s="76">
        <f>Lähtötiedot!B17</f>
        <v>8500</v>
      </c>
      <c r="D3" s="42">
        <f>Lähtötiedot!B14</f>
        <v>0.3</v>
      </c>
      <c r="E3" s="42">
        <f>Lähtötiedot!B51</f>
        <v>0.1</v>
      </c>
      <c r="F3" s="42">
        <f>Lähtötiedot!B50</f>
        <v>0.11</v>
      </c>
    </row>
    <row r="4" spans="2:25" ht="14.4" x14ac:dyDescent="0.3">
      <c r="B4" s="39" t="s">
        <v>119</v>
      </c>
      <c r="C4" s="76">
        <f>Lähtötiedot!C17</f>
        <v>9000</v>
      </c>
      <c r="D4" s="42">
        <f>Lähtötiedot!C14</f>
        <v>0.37</v>
      </c>
      <c r="E4" s="42">
        <f>Lähtötiedot!C51</f>
        <v>0.16</v>
      </c>
      <c r="F4" s="42">
        <f>Lähtötiedot!C50</f>
        <v>0.15</v>
      </c>
    </row>
    <row r="5" spans="2:25" ht="14.4" x14ac:dyDescent="0.3">
      <c r="B5" s="39" t="s">
        <v>12</v>
      </c>
      <c r="C5" s="76">
        <f>Lähtötiedot!D17</f>
        <v>9500</v>
      </c>
      <c r="D5" s="42">
        <f>Lähtötiedot!D14</f>
        <v>0.46</v>
      </c>
      <c r="E5" s="42">
        <f>Lähtötiedot!D51</f>
        <v>0.19</v>
      </c>
      <c r="F5" s="42">
        <f>Lähtötiedot!D50</f>
        <v>0.2</v>
      </c>
    </row>
    <row r="6" spans="2:25" ht="14.4" x14ac:dyDescent="0.3">
      <c r="B6" s="40" t="s">
        <v>118</v>
      </c>
      <c r="C6" s="75">
        <f>($C$3+$C$4*4+$C$5)/6</f>
        <v>9000</v>
      </c>
      <c r="D6" s="54">
        <f>($D$3+$D$4*4+$D$5)/6</f>
        <v>0.37333333333333335</v>
      </c>
      <c r="E6" s="54">
        <f>($E$3+$E$4*4+$E$5)/6</f>
        <v>0.155</v>
      </c>
      <c r="F6" s="54">
        <f>($F$3+$F$4*4+$F$5)/6</f>
        <v>0.15166666666666664</v>
      </c>
    </row>
    <row r="7" spans="2:25" ht="14.4" x14ac:dyDescent="0.3">
      <c r="B7" s="40" t="s">
        <v>120</v>
      </c>
      <c r="C7" s="54">
        <f>6*(($C$6-$C$3)/($C$5-$C$3))</f>
        <v>3</v>
      </c>
      <c r="D7" s="54">
        <f>6*(($D$6-$D$3)/($D$5-$D$3))</f>
        <v>2.7500000000000004</v>
      </c>
      <c r="E7" s="54">
        <f>6*(($E$6-$E$3)/($E$5-$E$3))</f>
        <v>3.6666666666666661</v>
      </c>
      <c r="F7" s="54">
        <f>6*(($F$6-$F$3)/($F$5-$F$3))</f>
        <v>2.7777777777777759</v>
      </c>
    </row>
    <row r="8" spans="2:25" ht="14.4" x14ac:dyDescent="0.3">
      <c r="B8" s="40" t="s">
        <v>121</v>
      </c>
      <c r="C8" s="54">
        <f>6*(($C$5-$C$6)/($C$5-$C$3))</f>
        <v>3</v>
      </c>
      <c r="D8" s="54">
        <f>6*(($D$5-$D$6)/($D$5-$D$3))</f>
        <v>3.25</v>
      </c>
      <c r="E8" s="54">
        <f>6*(($E$5-$E$6)/($E$5-$E$3))</f>
        <v>2.3333333333333339</v>
      </c>
      <c r="F8" s="54">
        <f>6*(($F$5-$F$6)/($F$5-$F$3))</f>
        <v>3.2222222222222241</v>
      </c>
    </row>
    <row r="9" spans="2:25" ht="14.4" x14ac:dyDescent="0.3">
      <c r="B9" s="40" t="s">
        <v>122</v>
      </c>
      <c r="C9" s="54">
        <f>EXP(GAMMALN($C$7)+GAMMALN($C$8)-GAMMALN($C$7+$C$8))</f>
        <v>3.3333333333333347E-2</v>
      </c>
      <c r="D9" s="54">
        <f>EXP(GAMMALN($D$7)+GAMMALN($D$8)-GAMMALN($D$7+$D$8))</f>
        <v>3.4167678845700336E-2</v>
      </c>
      <c r="E9" s="54">
        <f>EXP(GAMMALN($E$7)+GAMMALN($E$8)-GAMMALN($E$7+$E$8))</f>
        <v>3.9809039544235231E-2</v>
      </c>
      <c r="F9" s="54">
        <f>EXP(GAMMALN($F$7)+GAMMALN($F$8)-GAMMALN($F$7+$F$8))</f>
        <v>3.3990635303056002E-2</v>
      </c>
    </row>
    <row r="10" spans="2:25" ht="14.4" x14ac:dyDescent="0.3">
      <c r="B10" s="40" t="s">
        <v>124</v>
      </c>
      <c r="C10" s="54">
        <f>(C11-$C$3)^($C$7-1)*($C$5-C11)^($C$8-1)/$C$9/(($C$5-$C$3)^($C$7+$C$8-1))</f>
        <v>1.8749999999999993E-3</v>
      </c>
      <c r="D10" s="54">
        <f>(D11-$D$3)^($D$7-1)*($D$5-D11)^($D$8-1)/$D$9/(($D$5-$D$3)^($D$7+$D$8-1))</f>
        <v>11.796463455634761</v>
      </c>
      <c r="E10" s="54">
        <f>(E11-$E$3)^($E$7-1)*($E$5-E11)^($E$8-1)/$E$9/(($E$5-$E$3)^($E$7+$E$8-1))</f>
        <v>21.879501714325457</v>
      </c>
      <c r="F10" s="54">
        <f>(F11-$F$3)^($F$7-1)*($F$5-F11)^($F$8-1)/$F$9/(($F$5-$F$3)^($F$7+$F$8-1))</f>
        <v>20.942268372711911</v>
      </c>
    </row>
    <row r="11" spans="2:25" ht="14.4" x14ac:dyDescent="0.3">
      <c r="B11" s="39" t="s">
        <v>123</v>
      </c>
      <c r="C11" s="75">
        <f>C4</f>
        <v>9000</v>
      </c>
      <c r="D11" s="73">
        <f>D4</f>
        <v>0.37</v>
      </c>
      <c r="E11" s="73">
        <f>E4</f>
        <v>0.16</v>
      </c>
      <c r="F11" s="73">
        <f>F4</f>
        <v>0.15</v>
      </c>
    </row>
    <row r="12" spans="2:25" x14ac:dyDescent="0.25">
      <c r="B12" s="11" t="s">
        <v>129</v>
      </c>
      <c r="C12" s="8">
        <f>AVERAGE(C25:C1023)</f>
        <v>8999.9999999999927</v>
      </c>
      <c r="D12" s="74">
        <f>AVERAGE(D25:D1023)</f>
        <v>0.37332805857672846</v>
      </c>
      <c r="E12" s="74">
        <f>AVERAGE(E25:E1023)</f>
        <v>0.15500787179212935</v>
      </c>
      <c r="F12" s="74">
        <f>AVERAGE(F25:F1023)</f>
        <v>0.15166402883875921</v>
      </c>
    </row>
    <row r="13" spans="2:25" x14ac:dyDescent="0.25">
      <c r="X13" s="7"/>
    </row>
    <row r="14" spans="2:25" x14ac:dyDescent="0.25">
      <c r="B14" t="s">
        <v>14</v>
      </c>
      <c r="C14" s="8">
        <f ca="1">LOOKUP(RANDBETWEEN(1,999)/1000,B25:B1023,C25:C1023)</f>
        <v>9355.5222242129712</v>
      </c>
      <c r="D14" s="41">
        <f ca="1">LOOKUP(RANDBETWEEN(1,999)/1000,B25:B1023,D25:D1023)</f>
        <v>0.38419752850517008</v>
      </c>
      <c r="E14" s="74">
        <f ca="1">LOOKUP(RANDBETWEEN(1,999)/1000,B25:B1023,E25:E1023)</f>
        <v>0.14592988971351306</v>
      </c>
      <c r="F14" s="41">
        <f ca="1">LOOKUP(RANDBETWEEN(1,999)/1000,B25:B1023,F25:F1023)</f>
        <v>0.13476233373647156</v>
      </c>
    </row>
    <row r="15" spans="2:25" x14ac:dyDescent="0.25">
      <c r="C15" s="8">
        <f>MIN(C25:C1023)</f>
        <v>8547.5518981754576</v>
      </c>
      <c r="D15" s="41">
        <f>MIN(D25:D1023)</f>
        <v>0.30561024787233382</v>
      </c>
      <c r="E15" s="74">
        <f>MIN(E25:E1023)</f>
        <v>0.10831817587793192</v>
      </c>
      <c r="F15" s="41">
        <f>MIN(F25:F1023)</f>
        <v>0.11327085737096987</v>
      </c>
      <c r="X15" s="7"/>
      <c r="Y15" s="7"/>
    </row>
    <row r="16" spans="2:25" x14ac:dyDescent="0.25">
      <c r="B16" s="7" t="s">
        <v>13</v>
      </c>
      <c r="C16" s="8">
        <f>MAX(C25:C1023)</f>
        <v>9452.4481018245424</v>
      </c>
      <c r="D16" s="41">
        <f>MAX(D25:D1023)</f>
        <v>0.45002858952374714</v>
      </c>
      <c r="E16" s="74">
        <f>MAX(E25:E1023)</f>
        <v>0.18829053281637553</v>
      </c>
      <c r="F16" s="41">
        <f>MAX(F25:F1023)</f>
        <v>0.19454930135892234</v>
      </c>
      <c r="X16" s="7"/>
      <c r="Y16" s="8"/>
    </row>
    <row r="17" spans="2:27" x14ac:dyDescent="0.25">
      <c r="B17" s="67"/>
      <c r="C17" s="8"/>
      <c r="D17" s="41"/>
      <c r="E17" s="8"/>
      <c r="F17" s="41"/>
      <c r="X17" s="7"/>
      <c r="Y17" s="8"/>
    </row>
    <row r="18" spans="2:27" x14ac:dyDescent="0.25">
      <c r="B18" s="66"/>
      <c r="C18" s="8"/>
      <c r="D18" s="41"/>
      <c r="E18" s="8"/>
      <c r="F18" s="41"/>
      <c r="X18" s="67"/>
      <c r="Y18" s="8"/>
    </row>
    <row r="19" spans="2:27" x14ac:dyDescent="0.25">
      <c r="B19" s="67"/>
      <c r="C19" s="8"/>
      <c r="D19" s="41"/>
      <c r="E19" s="8"/>
      <c r="F19" s="41"/>
      <c r="X19" s="67"/>
      <c r="Y19" s="8"/>
    </row>
    <row r="20" spans="2:27" x14ac:dyDescent="0.25">
      <c r="B20" s="67"/>
      <c r="C20" s="8"/>
      <c r="D20" s="41"/>
      <c r="E20" s="41"/>
      <c r="F20" s="41"/>
      <c r="X20" s="67"/>
      <c r="Y20" s="8"/>
    </row>
    <row r="21" spans="2:27" x14ac:dyDescent="0.25">
      <c r="B21" s="67"/>
      <c r="C21" s="8"/>
      <c r="D21" s="41"/>
      <c r="E21" s="41"/>
      <c r="F21" s="41"/>
      <c r="X21" s="67"/>
      <c r="Y21" s="8"/>
    </row>
    <row r="22" spans="2:27" x14ac:dyDescent="0.25">
      <c r="B22" s="67"/>
      <c r="C22" s="8"/>
      <c r="D22" s="41"/>
      <c r="E22" s="74"/>
      <c r="F22" s="41"/>
      <c r="X22" s="67"/>
      <c r="Y22" s="8"/>
    </row>
    <row r="23" spans="2:27" x14ac:dyDescent="0.25">
      <c r="B23" s="67"/>
      <c r="C23" s="41"/>
      <c r="D23" s="41"/>
      <c r="E23" s="41"/>
      <c r="F23" s="41"/>
      <c r="X23" s="67"/>
      <c r="Y23" s="8"/>
    </row>
    <row r="24" spans="2:27" ht="13.5" customHeight="1" x14ac:dyDescent="0.25">
      <c r="C24" s="66" t="s">
        <v>125</v>
      </c>
      <c r="D24" s="37" t="s">
        <v>125</v>
      </c>
      <c r="E24" s="66" t="s">
        <v>125</v>
      </c>
      <c r="F24" s="66" t="s">
        <v>125</v>
      </c>
      <c r="X24" s="67"/>
      <c r="Y24" s="8"/>
    </row>
    <row r="25" spans="2:27" ht="14.4" x14ac:dyDescent="0.3">
      <c r="B25" s="7">
        <v>1E-3</v>
      </c>
      <c r="C25" s="43">
        <f t="shared" ref="C25:C88" si="0">_xlfn.BETA.INV((1-B25),$C$7,$C$8)*($C$5-$C$3)+$C$3</f>
        <v>9452.4481018245424</v>
      </c>
      <c r="D25" s="43">
        <f t="shared" ref="D25:D88" si="1">_xlfn.BETA.INV((1-B25),$D$7,$D$8)*($D$5-$D$3)+$D$3</f>
        <v>0.45002858952374714</v>
      </c>
      <c r="E25" s="43">
        <f t="shared" ref="E25:E88" si="2">_xlfn.BETA.INV((1-B25),$E$7,$E$8)*($E$5-$E$3)+$E$3</f>
        <v>0.18829053281637553</v>
      </c>
      <c r="F25" s="43">
        <f t="shared" ref="F25:F88" si="3">_xlfn.BETA.INV((1-B25),$F$7,$F$8)*($F$5-$F$3)+$F$3</f>
        <v>0.19454930135892234</v>
      </c>
      <c r="X25" s="7"/>
      <c r="Y25" s="8"/>
    </row>
    <row r="26" spans="2:27" ht="14.4" x14ac:dyDescent="0.3">
      <c r="B26" s="7">
        <v>2E-3</v>
      </c>
      <c r="C26" s="43">
        <f t="shared" si="0"/>
        <v>9439.6899150427635</v>
      </c>
      <c r="D26" s="43">
        <f t="shared" si="1"/>
        <v>0.44757575160868968</v>
      </c>
      <c r="E26" s="43">
        <f t="shared" si="2"/>
        <v>0.18768668129359445</v>
      </c>
      <c r="F26" s="43">
        <f t="shared" si="3"/>
        <v>0.19319594209170463</v>
      </c>
      <c r="T26" s="14"/>
      <c r="X26" s="7"/>
      <c r="Y26" s="8"/>
    </row>
    <row r="27" spans="2:27" ht="14.4" x14ac:dyDescent="0.3">
      <c r="B27" s="36">
        <v>3.0000000000000001E-3</v>
      </c>
      <c r="C27" s="43">
        <f t="shared" si="0"/>
        <v>9430.6340064948927</v>
      </c>
      <c r="D27" s="43">
        <f t="shared" si="1"/>
        <v>0.44585851682514921</v>
      </c>
      <c r="E27" s="43">
        <f t="shared" si="2"/>
        <v>0.18723643113359695</v>
      </c>
      <c r="F27" s="43">
        <f t="shared" si="3"/>
        <v>0.19224708423039016</v>
      </c>
      <c r="T27" s="11"/>
      <c r="X27" s="7"/>
      <c r="Y27" s="8"/>
    </row>
    <row r="28" spans="2:27" ht="14.4" x14ac:dyDescent="0.3">
      <c r="B28" s="36">
        <v>4.0000000000000001E-3</v>
      </c>
      <c r="C28" s="43">
        <f t="shared" si="0"/>
        <v>9423.3597128012389</v>
      </c>
      <c r="D28" s="43">
        <f t="shared" si="1"/>
        <v>0.44449126390530547</v>
      </c>
      <c r="E28" s="43">
        <f t="shared" si="2"/>
        <v>0.18686321902586889</v>
      </c>
      <c r="F28" s="43">
        <f t="shared" si="3"/>
        <v>0.19149090695243648</v>
      </c>
      <c r="X28" s="7"/>
      <c r="Y28" s="8"/>
    </row>
    <row r="29" spans="2:27" ht="14.4" x14ac:dyDescent="0.3">
      <c r="B29" s="36">
        <v>5.0000000000000001E-3</v>
      </c>
      <c r="C29" s="43">
        <f t="shared" si="0"/>
        <v>9417.1708127985239</v>
      </c>
      <c r="D29" s="43">
        <f t="shared" si="1"/>
        <v>0.44333564477582998</v>
      </c>
      <c r="E29" s="43">
        <f t="shared" si="2"/>
        <v>0.18653822399864628</v>
      </c>
      <c r="F29" s="43">
        <f t="shared" si="3"/>
        <v>0.19085133418116712</v>
      </c>
      <c r="T29" s="37"/>
      <c r="U29" s="37"/>
      <c r="V29" s="37"/>
      <c r="W29" s="67"/>
      <c r="X29" s="67"/>
      <c r="Y29" s="67"/>
      <c r="Z29" s="66"/>
      <c r="AA29" s="66"/>
    </row>
    <row r="30" spans="2:27" ht="14.4" x14ac:dyDescent="0.3">
      <c r="B30" s="36">
        <v>6.0000000000000001E-3</v>
      </c>
      <c r="C30" s="43">
        <f t="shared" si="0"/>
        <v>9411.7256663072694</v>
      </c>
      <c r="D30" s="43">
        <f t="shared" si="1"/>
        <v>0.44232423579419206</v>
      </c>
      <c r="E30" s="43">
        <f t="shared" si="2"/>
        <v>0.18624694417927432</v>
      </c>
      <c r="F30" s="43">
        <f t="shared" si="3"/>
        <v>0.19029126383731065</v>
      </c>
      <c r="T30" s="12"/>
      <c r="U30" s="14"/>
      <c r="W30" s="14"/>
      <c r="X30" s="14"/>
      <c r="Y30" s="14"/>
      <c r="Z30" s="14"/>
      <c r="AA30" s="14"/>
    </row>
    <row r="31" spans="2:27" ht="14.4" x14ac:dyDescent="0.3">
      <c r="B31" s="36">
        <v>7.0000000000000001E-3</v>
      </c>
      <c r="C31" s="43">
        <f t="shared" si="0"/>
        <v>9406.8280379223779</v>
      </c>
      <c r="D31" s="43">
        <f t="shared" si="1"/>
        <v>0.44141851158851164</v>
      </c>
      <c r="E31" s="43">
        <f t="shared" si="2"/>
        <v>0.18598088926836345</v>
      </c>
      <c r="F31" s="43">
        <f t="shared" si="3"/>
        <v>0.18978948448088381</v>
      </c>
      <c r="T31" s="12"/>
      <c r="U31" s="14"/>
      <c r="W31" s="14"/>
      <c r="X31" s="14"/>
      <c r="Y31" s="14"/>
      <c r="Z31" s="14"/>
      <c r="AA31" s="14"/>
    </row>
    <row r="32" spans="2:27" ht="14.4" x14ac:dyDescent="0.3">
      <c r="B32" s="36">
        <v>8.0000000000000002E-3</v>
      </c>
      <c r="C32" s="43">
        <f t="shared" si="0"/>
        <v>9402.3535142737855</v>
      </c>
      <c r="D32" s="43">
        <f t="shared" si="1"/>
        <v>0.44059415073523728</v>
      </c>
      <c r="E32" s="43">
        <f t="shared" si="2"/>
        <v>0.1857345924180849</v>
      </c>
      <c r="F32" s="43">
        <f t="shared" si="3"/>
        <v>0.18933259918426176</v>
      </c>
      <c r="T32" s="12"/>
      <c r="U32" s="14"/>
      <c r="W32" s="14"/>
      <c r="X32" s="14"/>
      <c r="Y32" s="14"/>
      <c r="Z32" s="14"/>
      <c r="AA32" s="14"/>
    </row>
    <row r="33" spans="2:27" ht="14.4" x14ac:dyDescent="0.3">
      <c r="B33" s="36">
        <v>8.9999999999999993E-3</v>
      </c>
      <c r="C33" s="43">
        <f t="shared" si="0"/>
        <v>9398.2176452191761</v>
      </c>
      <c r="D33" s="43">
        <f t="shared" si="1"/>
        <v>0.43983470335086777</v>
      </c>
      <c r="E33" s="43">
        <f t="shared" si="2"/>
        <v>0.18550429407254038</v>
      </c>
      <c r="F33" s="43">
        <f t="shared" si="3"/>
        <v>0.18891154348683553</v>
      </c>
      <c r="T33" s="12"/>
      <c r="U33" s="14"/>
      <c r="W33" s="14"/>
      <c r="X33" s="14"/>
      <c r="Y33" s="14"/>
      <c r="Z33" s="14"/>
      <c r="AA33" s="14"/>
    </row>
    <row r="34" spans="2:27" ht="14.4" x14ac:dyDescent="0.3">
      <c r="B34" s="36">
        <v>0.01</v>
      </c>
      <c r="C34" s="43">
        <f t="shared" si="0"/>
        <v>9394.3601564492255</v>
      </c>
      <c r="D34" s="43">
        <f t="shared" si="1"/>
        <v>0.43912846517302251</v>
      </c>
      <c r="E34" s="43">
        <f t="shared" si="2"/>
        <v>0.18528728049418039</v>
      </c>
      <c r="F34" s="43">
        <f t="shared" si="3"/>
        <v>0.18851986583430091</v>
      </c>
      <c r="T34" s="12"/>
      <c r="U34" s="14"/>
      <c r="W34" s="14"/>
      <c r="X34" s="14"/>
      <c r="Y34" s="14"/>
      <c r="Z34" s="14"/>
      <c r="AA34" s="14"/>
    </row>
    <row r="35" spans="2:27" ht="14.4" x14ac:dyDescent="0.3">
      <c r="B35" s="36">
        <v>1.0999999999999999E-2</v>
      </c>
      <c r="C35" s="43">
        <f t="shared" si="0"/>
        <v>9390.7363382826952</v>
      </c>
      <c r="D35" s="43">
        <f t="shared" si="1"/>
        <v>0.43846677812125467</v>
      </c>
      <c r="E35" s="43">
        <f t="shared" si="2"/>
        <v>0.18508151860635697</v>
      </c>
      <c r="F35" s="43">
        <f t="shared" si="3"/>
        <v>0.1881527924011063</v>
      </c>
      <c r="T35" s="12"/>
      <c r="U35" s="14"/>
      <c r="W35" s="14"/>
      <c r="X35" s="14"/>
      <c r="Y35" s="14"/>
      <c r="Z35" s="14"/>
      <c r="AA35" s="14"/>
    </row>
    <row r="36" spans="2:27" ht="14.4" x14ac:dyDescent="0.3">
      <c r="B36" s="36">
        <v>1.2E-2</v>
      </c>
      <c r="C36" s="43">
        <f t="shared" si="0"/>
        <v>9387.3119973261946</v>
      </c>
      <c r="D36" s="43">
        <f t="shared" si="1"/>
        <v>0.43784303684890685</v>
      </c>
      <c r="E36" s="43">
        <f t="shared" si="2"/>
        <v>0.18488543966458704</v>
      </c>
      <c r="F36" s="43">
        <f t="shared" si="3"/>
        <v>0.1878066802463606</v>
      </c>
      <c r="T36" s="12"/>
      <c r="U36" s="14"/>
      <c r="W36" s="14"/>
      <c r="X36" s="14"/>
      <c r="Y36" s="14"/>
      <c r="Z36" s="14"/>
      <c r="AA36" s="14"/>
    </row>
    <row r="37" spans="2:27" ht="14.4" x14ac:dyDescent="0.3">
      <c r="B37" s="36">
        <v>1.2999999999999999E-2</v>
      </c>
      <c r="C37" s="43">
        <f t="shared" si="0"/>
        <v>9384.0603251365155</v>
      </c>
      <c r="D37" s="43">
        <f t="shared" si="1"/>
        <v>0.43725207410452649</v>
      </c>
      <c r="E37" s="43">
        <f t="shared" si="2"/>
        <v>0.18469780382034306</v>
      </c>
      <c r="F37" s="43">
        <f t="shared" si="3"/>
        <v>0.18747867889570802</v>
      </c>
      <c r="T37" s="12"/>
      <c r="U37" s="14"/>
      <c r="W37" s="14"/>
      <c r="X37" s="14"/>
      <c r="Y37" s="14"/>
      <c r="Z37" s="14"/>
      <c r="AA37" s="14"/>
    </row>
    <row r="38" spans="2:27" ht="14.4" x14ac:dyDescent="0.3">
      <c r="B38" s="36">
        <v>1.4E-2</v>
      </c>
      <c r="C38" s="43">
        <f t="shared" si="0"/>
        <v>9380.9598657240404</v>
      </c>
      <c r="D38" s="43">
        <f t="shared" si="1"/>
        <v>0.43668976269524962</v>
      </c>
      <c r="E38" s="43">
        <f t="shared" si="2"/>
        <v>0.18451761147303147</v>
      </c>
      <c r="F38" s="43">
        <f t="shared" si="3"/>
        <v>0.18716651113107913</v>
      </c>
      <c r="T38" s="12"/>
      <c r="U38" s="14"/>
      <c r="W38" s="14"/>
      <c r="X38" s="14"/>
      <c r="Y38" s="14"/>
      <c r="Z38" s="14"/>
      <c r="AA38" s="14"/>
    </row>
    <row r="39" spans="2:27" ht="14.4" x14ac:dyDescent="0.3">
      <c r="B39" s="36">
        <v>1.4999999999999999E-2</v>
      </c>
      <c r="C39" s="43">
        <f t="shared" si="0"/>
        <v>9377.9931460417647</v>
      </c>
      <c r="D39" s="43">
        <f t="shared" si="1"/>
        <v>0.43615274784642999</v>
      </c>
      <c r="E39" s="43">
        <f t="shared" si="2"/>
        <v>0.18434404308210472</v>
      </c>
      <c r="F39" s="43">
        <f t="shared" si="3"/>
        <v>0.18686832556126948</v>
      </c>
      <c r="T39" s="12"/>
      <c r="U39" s="14"/>
      <c r="W39" s="14"/>
      <c r="X39" s="14"/>
      <c r="Y39" s="14"/>
      <c r="Z39" s="14"/>
      <c r="AA39" s="14"/>
    </row>
    <row r="40" spans="2:27" ht="14.4" x14ac:dyDescent="0.3">
      <c r="B40" s="36">
        <v>1.6E-2</v>
      </c>
      <c r="C40" s="43">
        <f t="shared" si="0"/>
        <v>9375.1457238160201</v>
      </c>
      <c r="D40" s="43">
        <f t="shared" si="1"/>
        <v>0.43563826147776391</v>
      </c>
      <c r="E40" s="43">
        <f t="shared" si="2"/>
        <v>0.18417641702772311</v>
      </c>
      <c r="F40" s="43">
        <f t="shared" si="3"/>
        <v>0.18658259429565133</v>
      </c>
      <c r="T40" s="12"/>
      <c r="U40" s="14"/>
      <c r="W40" s="14"/>
      <c r="X40" s="14"/>
      <c r="Y40" s="14"/>
      <c r="Z40" s="14"/>
      <c r="AA40" s="14"/>
    </row>
    <row r="41" spans="2:27" ht="14.4" x14ac:dyDescent="0.3">
      <c r="B41" s="36">
        <v>1.7000000000000001E-2</v>
      </c>
      <c r="C41" s="43">
        <f t="shared" si="0"/>
        <v>9372.4055076414334</v>
      </c>
      <c r="D41" s="43">
        <f t="shared" si="1"/>
        <v>0.43514398982024283</v>
      </c>
      <c r="E41" s="43">
        <f t="shared" si="2"/>
        <v>0.18401415932629997</v>
      </c>
      <c r="F41" s="43">
        <f t="shared" si="3"/>
        <v>0.18630803999300677</v>
      </c>
      <c r="T41" s="12"/>
      <c r="U41" s="14"/>
      <c r="W41" s="14"/>
      <c r="X41" s="14"/>
      <c r="Y41" s="14"/>
      <c r="Z41" s="14"/>
      <c r="AA41" s="14"/>
    </row>
    <row r="42" spans="2:27" ht="14.4" x14ac:dyDescent="0.3">
      <c r="B42" s="36">
        <v>1.7999999999999999E-2</v>
      </c>
      <c r="C42" s="43">
        <f t="shared" si="0"/>
        <v>9369.7622601982439</v>
      </c>
      <c r="D42" s="43">
        <f t="shared" si="1"/>
        <v>0.43466797684772085</v>
      </c>
      <c r="E42" s="43">
        <f t="shared" si="2"/>
        <v>0.18385678136989347</v>
      </c>
      <c r="F42" s="43">
        <f t="shared" si="3"/>
        <v>0.18604358263724713</v>
      </c>
      <c r="T42" s="12"/>
      <c r="U42" s="14"/>
      <c r="W42" s="14"/>
      <c r="X42" s="14"/>
      <c r="Y42" s="14"/>
      <c r="Z42" s="14"/>
      <c r="AA42" s="14"/>
    </row>
    <row r="43" spans="2:27" ht="14.4" x14ac:dyDescent="0.3">
      <c r="B43" s="36">
        <v>1.9E-2</v>
      </c>
      <c r="C43" s="43">
        <f t="shared" si="0"/>
        <v>9367.2072279291733</v>
      </c>
      <c r="D43" s="43">
        <f t="shared" si="1"/>
        <v>0.4342085524013799</v>
      </c>
      <c r="E43" s="43">
        <f t="shared" si="2"/>
        <v>0.18370386323921495</v>
      </c>
      <c r="F43" s="43">
        <f t="shared" si="3"/>
        <v>0.18578829991639975</v>
      </c>
      <c r="T43" s="12"/>
      <c r="U43" s="14"/>
      <c r="W43" s="14"/>
      <c r="X43" s="14"/>
      <c r="Y43" s="14"/>
      <c r="Z43" s="14"/>
      <c r="AA43" s="14"/>
    </row>
    <row r="44" spans="2:27" ht="14.4" x14ac:dyDescent="0.3">
      <c r="B44" s="36">
        <v>0.02</v>
      </c>
      <c r="C44" s="43">
        <f t="shared" si="0"/>
        <v>9364.7328600826368</v>
      </c>
      <c r="D44" s="43">
        <f t="shared" si="1"/>
        <v>0.43376427773790271</v>
      </c>
      <c r="E44" s="43">
        <f t="shared" si="2"/>
        <v>0.18355504097702791</v>
      </c>
      <c r="F44" s="43">
        <f t="shared" si="3"/>
        <v>0.18554139720178991</v>
      </c>
      <c r="T44" s="12"/>
      <c r="U44" s="14"/>
      <c r="W44" s="14"/>
      <c r="X44" s="14"/>
      <c r="Y44" s="14"/>
      <c r="Z44" s="14"/>
      <c r="AA44" s="14"/>
    </row>
    <row r="45" spans="2:27" ht="14.4" x14ac:dyDescent="0.3">
      <c r="B45" s="36">
        <v>2.1000000000000001E-2</v>
      </c>
      <c r="C45" s="43">
        <f t="shared" si="0"/>
        <v>9362.3325922056501</v>
      </c>
      <c r="D45" s="43">
        <f t="shared" si="1"/>
        <v>0.43333390362562041</v>
      </c>
      <c r="E45" s="43">
        <f t="shared" si="2"/>
        <v>0.18340999673245267</v>
      </c>
      <c r="F45" s="43">
        <f t="shared" si="3"/>
        <v>0.18530218444198393</v>
      </c>
      <c r="T45" s="12"/>
      <c r="U45" s="14"/>
      <c r="W45" s="14"/>
      <c r="X45" s="14"/>
      <c r="Y45" s="14"/>
      <c r="Z45" s="14"/>
      <c r="AA45" s="14"/>
    </row>
    <row r="46" spans="2:27" ht="14.4" x14ac:dyDescent="0.3">
      <c r="B46" s="36">
        <v>2.1999999999999999E-2</v>
      </c>
      <c r="C46" s="43">
        <f t="shared" si="0"/>
        <v>9360.0006769636275</v>
      </c>
      <c r="D46" s="43">
        <f t="shared" si="1"/>
        <v>0.43291633764263426</v>
      </c>
      <c r="E46" s="43">
        <f t="shared" si="2"/>
        <v>0.18326845102368594</v>
      </c>
      <c r="F46" s="43">
        <f t="shared" si="3"/>
        <v>0.18507005812833532</v>
      </c>
      <c r="T46" s="12"/>
      <c r="U46" s="14"/>
      <c r="W46" s="14"/>
      <c r="X46" s="14"/>
      <c r="Y46" s="14"/>
      <c r="Z46" s="14"/>
      <c r="AA46" s="14"/>
    </row>
    <row r="47" spans="2:27" ht="14.4" x14ac:dyDescent="0.3">
      <c r="B47" s="36">
        <v>2.3E-2</v>
      </c>
      <c r="C47" s="43">
        <f t="shared" si="0"/>
        <v>9357.7320502789808</v>
      </c>
      <c r="D47" s="43">
        <f t="shared" si="1"/>
        <v>0.43251061833347265</v>
      </c>
      <c r="E47" s="43">
        <f t="shared" si="2"/>
        <v>0.18313015658890242</v>
      </c>
      <c r="F47" s="43">
        <f t="shared" si="3"/>
        <v>0.18484448704106082</v>
      </c>
      <c r="T47" s="12"/>
      <c r="U47" s="14"/>
      <c r="W47" s="14"/>
      <c r="X47" s="14"/>
      <c r="Y47" s="14"/>
      <c r="Z47" s="14"/>
      <c r="AA47" s="14"/>
    </row>
    <row r="48" spans="2:27" ht="14.4" x14ac:dyDescent="0.3">
      <c r="B48" s="36">
        <v>2.4E-2</v>
      </c>
      <c r="C48" s="43">
        <f t="shared" si="0"/>
        <v>9355.5222242129712</v>
      </c>
      <c r="D48" s="43">
        <f t="shared" si="1"/>
        <v>0.43211589455277721</v>
      </c>
      <c r="E48" s="43">
        <f t="shared" si="2"/>
        <v>0.18299489344496009</v>
      </c>
      <c r="F48" s="43">
        <f t="shared" si="3"/>
        <v>0.18462500085484632</v>
      </c>
      <c r="T48" s="12"/>
      <c r="U48" s="14"/>
      <c r="W48" s="14"/>
      <c r="X48" s="14"/>
      <c r="Y48" s="14"/>
      <c r="Z48" s="14"/>
      <c r="AA48" s="14"/>
    </row>
    <row r="49" spans="2:27" ht="14.4" x14ac:dyDescent="0.3">
      <c r="B49" s="36">
        <v>2.5000000000000001E-2</v>
      </c>
      <c r="C49" s="43">
        <f t="shared" si="0"/>
        <v>9353.3672003653264</v>
      </c>
      <c r="D49" s="43">
        <f t="shared" si="1"/>
        <v>0.43173140878401572</v>
      </c>
      <c r="E49" s="43">
        <f t="shared" si="2"/>
        <v>0.18286246487658811</v>
      </c>
      <c r="F49" s="43">
        <f t="shared" si="3"/>
        <v>0.18441118093608397</v>
      </c>
      <c r="T49" s="12"/>
      <c r="U49" s="14"/>
      <c r="W49" s="14"/>
      <c r="X49" s="14"/>
      <c r="Y49" s="14"/>
      <c r="Z49" s="14"/>
      <c r="AA49" s="14"/>
    </row>
    <row r="50" spans="2:27" ht="14.4" x14ac:dyDescent="0.3">
      <c r="B50" s="36">
        <v>2.5999999999999999E-2</v>
      </c>
      <c r="C50" s="43">
        <f t="shared" si="0"/>
        <v>9351.2633992045867</v>
      </c>
      <c r="D50" s="43">
        <f t="shared" si="1"/>
        <v>0.43135648354119449</v>
      </c>
      <c r="E50" s="43">
        <f t="shared" si="2"/>
        <v>0.18273269415088822</v>
      </c>
      <c r="F50" s="43">
        <f t="shared" si="3"/>
        <v>0.18420265284011575</v>
      </c>
      <c r="T50" s="12"/>
      <c r="U50" s="14"/>
      <c r="W50" s="14"/>
      <c r="X50" s="14"/>
      <c r="Y50" s="14"/>
      <c r="Z50" s="14"/>
      <c r="AA50" s="14"/>
    </row>
    <row r="51" spans="2:27" ht="14.4" x14ac:dyDescent="0.3">
      <c r="B51" s="36">
        <v>2.7E-2</v>
      </c>
      <c r="C51" s="43">
        <f t="shared" si="0"/>
        <v>9349.2076019033975</v>
      </c>
      <c r="D51" s="43">
        <f t="shared" si="1"/>
        <v>0.43099051018807744</v>
      </c>
      <c r="E51" s="43">
        <f t="shared" si="2"/>
        <v>0.18260542180332298</v>
      </c>
      <c r="F51" s="43">
        <f t="shared" si="3"/>
        <v>0.18399908014166583</v>
      </c>
      <c r="T51" s="12"/>
      <c r="U51" s="14"/>
      <c r="W51" s="14"/>
      <c r="X51" s="14"/>
      <c r="Y51" s="14"/>
      <c r="Z51" s="14"/>
      <c r="AA51" s="14"/>
    </row>
    <row r="52" spans="2:27" ht="14.4" x14ac:dyDescent="0.3">
      <c r="B52" s="36">
        <v>2.8000000000000001E-2</v>
      </c>
      <c r="C52" s="43">
        <f t="shared" si="0"/>
        <v>9347.1969020883043</v>
      </c>
      <c r="D52" s="43">
        <f t="shared" si="1"/>
        <v>0.43063293967221461</v>
      </c>
      <c r="E52" s="43">
        <f t="shared" si="2"/>
        <v>0.18248050337844268</v>
      </c>
      <c r="F52" s="43">
        <f t="shared" si="3"/>
        <v>0.18380015932134849</v>
      </c>
      <c r="T52" s="12"/>
      <c r="U52" s="14"/>
      <c r="W52" s="14"/>
      <c r="X52" s="14"/>
      <c r="Y52" s="14"/>
      <c r="Z52" s="14"/>
      <c r="AA52" s="14"/>
    </row>
    <row r="53" spans="2:27" ht="14.4" x14ac:dyDescent="0.3">
      <c r="B53" s="36">
        <v>2.9000000000000001E-2</v>
      </c>
      <c r="C53" s="43">
        <f t="shared" si="0"/>
        <v>9345.2286655229927</v>
      </c>
      <c r="D53" s="43">
        <f t="shared" si="1"/>
        <v>0.43028327478970591</v>
      </c>
      <c r="E53" s="43">
        <f t="shared" si="2"/>
        <v>0.18235780753574571</v>
      </c>
      <c r="F53" s="43">
        <f t="shared" si="3"/>
        <v>0.18360561549650736</v>
      </c>
      <c r="T53" s="12"/>
      <c r="U53" s="14"/>
      <c r="W53" s="14"/>
      <c r="X53" s="14"/>
      <c r="Y53" s="14"/>
      <c r="Z53" s="14"/>
      <c r="AA53" s="14"/>
    </row>
    <row r="54" spans="2:27" ht="14.4" x14ac:dyDescent="0.3">
      <c r="B54" s="36">
        <v>0.03</v>
      </c>
      <c r="C54" s="43">
        <f t="shared" si="0"/>
        <v>9343.3004961939005</v>
      </c>
      <c r="D54" s="43">
        <f t="shared" si="1"/>
        <v>0.42994106368415741</v>
      </c>
      <c r="E54" s="43">
        <f t="shared" si="2"/>
        <v>0.18223721445118701</v>
      </c>
      <c r="F54" s="43">
        <f t="shared" si="3"/>
        <v>0.18341519883288238</v>
      </c>
      <c r="T54" s="12"/>
      <c r="U54" s="14"/>
      <c r="W54" s="14"/>
      <c r="X54" s="14"/>
      <c r="Y54" s="14"/>
      <c r="Z54" s="14"/>
      <c r="AA54" s="14"/>
    </row>
    <row r="55" spans="2:27" ht="14.4" x14ac:dyDescent="0.3">
      <c r="B55" s="36">
        <v>3.1E-2</v>
      </c>
      <c r="C55" s="43">
        <f t="shared" si="0"/>
        <v>9341.4102076035106</v>
      </c>
      <c r="D55" s="43">
        <f t="shared" si="1"/>
        <v>0.42960589434863605</v>
      </c>
      <c r="E55" s="43">
        <f t="shared" si="2"/>
        <v>0.18211861445993371</v>
      </c>
      <c r="F55" s="43">
        <f t="shared" si="3"/>
        <v>0.18322868150962046</v>
      </c>
      <c r="T55" s="12"/>
      <c r="U55" s="14"/>
      <c r="W55" s="14"/>
      <c r="X55" s="14"/>
      <c r="Y55" s="14"/>
      <c r="Z55" s="14"/>
      <c r="AA55" s="14"/>
    </row>
    <row r="56" spans="2:27" ht="14.4" x14ac:dyDescent="0.3">
      <c r="B56" s="36">
        <v>3.2000000000000001E-2</v>
      </c>
      <c r="C56" s="43">
        <f t="shared" si="0"/>
        <v>9339.5557983306189</v>
      </c>
      <c r="D56" s="43">
        <f t="shared" si="1"/>
        <v>0.42927738994874731</v>
      </c>
      <c r="E56" s="43">
        <f t="shared" si="2"/>
        <v>0.18200190689739926</v>
      </c>
      <c r="F56" s="43">
        <f t="shared" si="3"/>
        <v>0.18304585513733129</v>
      </c>
      <c r="T56" s="12"/>
      <c r="U56" s="14"/>
      <c r="W56" s="14"/>
      <c r="X56" s="14"/>
      <c r="Y56" s="14"/>
      <c r="Z56" s="14"/>
      <c r="AA56" s="14"/>
    </row>
    <row r="57" spans="2:27" ht="14.4" x14ac:dyDescent="0.3">
      <c r="B57" s="36">
        <v>3.3000000000000002E-2</v>
      </c>
      <c r="C57" s="43">
        <f t="shared" si="0"/>
        <v>9337.7354311107138</v>
      </c>
      <c r="D57" s="43">
        <f t="shared" si="1"/>
        <v>0.42895520482255489</v>
      </c>
      <c r="E57" s="43">
        <f t="shared" si="2"/>
        <v>0.1818869991043372</v>
      </c>
      <c r="F57" s="43">
        <f t="shared" si="3"/>
        <v>0.18286652854961477</v>
      </c>
      <c r="T57" s="12"/>
      <c r="U57" s="14"/>
      <c r="W57" s="14"/>
      <c r="X57" s="14"/>
      <c r="Y57" s="14"/>
      <c r="Z57" s="14"/>
      <c r="AA57" s="14"/>
    </row>
    <row r="58" spans="2:27" ht="14.4" x14ac:dyDescent="0.3">
      <c r="B58" s="36">
        <v>3.4000000000000002E-2</v>
      </c>
      <c r="C58" s="43">
        <f t="shared" si="0"/>
        <v>9335.9474148388726</v>
      </c>
      <c r="D58" s="43">
        <f t="shared" si="1"/>
        <v>0.4286390210419887</v>
      </c>
      <c r="E58" s="43">
        <f t="shared" si="2"/>
        <v>0.18177380556853223</v>
      </c>
      <c r="F58" s="43">
        <f t="shared" si="3"/>
        <v>0.18269052590443619</v>
      </c>
      <c r="T58" s="12"/>
      <c r="U58" s="14"/>
      <c r="W58" s="14"/>
      <c r="X58" s="14"/>
      <c r="Y58" s="14"/>
      <c r="Z58" s="14"/>
      <c r="AA58" s="14"/>
    </row>
    <row r="59" spans="2:27" ht="14.4" x14ac:dyDescent="0.3">
      <c r="B59" s="36">
        <v>3.5000000000000003E-2</v>
      </c>
      <c r="C59" s="43">
        <f t="shared" si="0"/>
        <v>9334.1901890134759</v>
      </c>
      <c r="D59" s="43">
        <f t="shared" si="1"/>
        <v>0.42832854544284038</v>
      </c>
      <c r="E59" s="43">
        <f t="shared" si="2"/>
        <v>0.18166224718089241</v>
      </c>
      <c r="F59" s="43">
        <f t="shared" si="3"/>
        <v>0.18251768504410293</v>
      </c>
      <c r="T59" s="12"/>
      <c r="U59" s="14"/>
      <c r="W59" s="14"/>
      <c r="X59" s="14"/>
      <c r="Y59" s="14"/>
      <c r="Z59" s="14"/>
      <c r="AA59" s="14"/>
    </row>
    <row r="60" spans="2:27" ht="14.4" x14ac:dyDescent="0.3">
      <c r="B60" s="36">
        <v>3.5999999999999997E-2</v>
      </c>
      <c r="C60" s="43">
        <f t="shared" si="0"/>
        <v>9332.4623102298974</v>
      </c>
      <c r="D60" s="43">
        <f t="shared" si="1"/>
        <v>0.42802350704801317</v>
      </c>
      <c r="E60" s="43">
        <f t="shared" si="2"/>
        <v>0.18155225058788016</v>
      </c>
      <c r="F60" s="43">
        <f t="shared" si="3"/>
        <v>0.18234785607228676</v>
      </c>
      <c r="T60" s="12"/>
      <c r="U60" s="14"/>
      <c r="W60" s="14"/>
      <c r="X60" s="14"/>
      <c r="Y60" s="14"/>
      <c r="Z60" s="14"/>
      <c r="AA60" s="14"/>
    </row>
    <row r="61" spans="2:27" ht="14.4" x14ac:dyDescent="0.3">
      <c r="B61" s="36">
        <v>3.6999999999999998E-2</v>
      </c>
      <c r="C61" s="43">
        <f t="shared" si="0"/>
        <v>9330.7624404049075</v>
      </c>
      <c r="D61" s="43">
        <f t="shared" si="1"/>
        <v>0.42772365482255037</v>
      </c>
      <c r="E61" s="43">
        <f t="shared" si="2"/>
        <v>0.1814437476254914</v>
      </c>
      <c r="F61" s="43">
        <f t="shared" si="3"/>
        <v>0.18218090011417382</v>
      </c>
      <c r="T61" s="12"/>
      <c r="U61" s="14"/>
      <c r="W61" s="14"/>
      <c r="X61" s="14"/>
      <c r="Y61" s="14"/>
      <c r="Z61" s="14"/>
      <c r="AA61" s="14"/>
    </row>
    <row r="62" spans="2:27" ht="14.4" x14ac:dyDescent="0.3">
      <c r="B62" s="36">
        <v>3.7999999999999999E-2</v>
      </c>
      <c r="C62" s="43">
        <f t="shared" si="0"/>
        <v>9329.0893364695548</v>
      </c>
      <c r="D62" s="43">
        <f t="shared" si="1"/>
        <v>0.42742875570996453</v>
      </c>
      <c r="E62" s="43">
        <f t="shared" si="2"/>
        <v>0.18133667482259991</v>
      </c>
      <c r="F62" s="43">
        <f t="shared" si="3"/>
        <v>0.18201668823189385</v>
      </c>
      <c r="T62" s="12"/>
      <c r="U62" s="14"/>
      <c r="W62" s="14"/>
      <c r="X62" s="14"/>
      <c r="Y62" s="14"/>
      <c r="Z62" s="14"/>
      <c r="AA62" s="14"/>
    </row>
    <row r="63" spans="2:27" ht="14.4" x14ac:dyDescent="0.3">
      <c r="B63" s="36">
        <v>3.9E-2</v>
      </c>
      <c r="C63" s="43">
        <f t="shared" si="0"/>
        <v>9327.4418413137755</v>
      </c>
      <c r="D63" s="43">
        <f t="shared" si="1"/>
        <v>0.42713859290819178</v>
      </c>
      <c r="E63" s="43">
        <f t="shared" si="2"/>
        <v>0.18123097296357399</v>
      </c>
      <c r="F63" s="43">
        <f t="shared" si="3"/>
        <v>0.18185510047223197</v>
      </c>
      <c r="T63" s="12"/>
      <c r="U63" s="14"/>
      <c r="W63" s="14"/>
      <c r="X63" s="14"/>
      <c r="Y63" s="14"/>
      <c r="Z63" s="14"/>
      <c r="AA63" s="14"/>
    </row>
    <row r="64" spans="2:27" ht="14.4" x14ac:dyDescent="0.3">
      <c r="B64" s="36">
        <v>0.04</v>
      </c>
      <c r="C64" s="43">
        <f t="shared" si="0"/>
        <v>9325.818875802699</v>
      </c>
      <c r="D64" s="43">
        <f t="shared" si="1"/>
        <v>0.42685296435057118</v>
      </c>
      <c r="E64" s="43">
        <f t="shared" si="2"/>
        <v>0.18112658670176157</v>
      </c>
      <c r="F64" s="43">
        <f t="shared" si="3"/>
        <v>0.18169602502753013</v>
      </c>
      <c r="T64" s="12"/>
      <c r="U64" s="14"/>
      <c r="W64" s="14"/>
      <c r="X64" s="14"/>
      <c r="Y64" s="14"/>
      <c r="Z64" s="14"/>
      <c r="AA64" s="14"/>
    </row>
    <row r="65" spans="2:27" ht="14.4" x14ac:dyDescent="0.3">
      <c r="B65" s="36">
        <v>4.1000000000000002E-2</v>
      </c>
      <c r="C65" s="43">
        <f t="shared" si="0"/>
        <v>9324.2194317143822</v>
      </c>
      <c r="D65" s="43">
        <f t="shared" si="1"/>
        <v>0.42657168136298163</v>
      </c>
      <c r="E65" s="43">
        <f t="shared" si="2"/>
        <v>0.18102346421681123</v>
      </c>
      <c r="F65" s="43">
        <f t="shared" si="3"/>
        <v>0.18153935749384842</v>
      </c>
      <c r="T65" s="12"/>
      <c r="U65" s="14"/>
      <c r="W65" s="14"/>
      <c r="X65" s="14"/>
      <c r="Y65" s="14"/>
      <c r="Z65" s="14"/>
      <c r="AA65" s="14"/>
    </row>
    <row r="66" spans="2:27" ht="14.4" x14ac:dyDescent="0.3">
      <c r="B66" s="36">
        <v>4.2000000000000003E-2</v>
      </c>
      <c r="C66" s="43">
        <f t="shared" si="0"/>
        <v>9322.64256547283</v>
      </c>
      <c r="D66" s="43">
        <f t="shared" si="1"/>
        <v>0.42629456747293409</v>
      </c>
      <c r="E66" s="43">
        <f t="shared" si="2"/>
        <v>0.1809215569099144</v>
      </c>
      <c r="F66" s="43">
        <f t="shared" si="3"/>
        <v>0.1813850002130285</v>
      </c>
      <c r="T66" s="12"/>
      <c r="U66" s="14"/>
      <c r="W66" s="14"/>
      <c r="X66" s="14"/>
      <c r="Y66" s="14"/>
      <c r="Z66" s="14"/>
      <c r="AA66" s="14"/>
    </row>
    <row r="67" spans="2:27" ht="14.4" x14ac:dyDescent="0.3">
      <c r="B67" s="36">
        <v>4.2999999999999997E-2</v>
      </c>
      <c r="C67" s="43">
        <f t="shared" si="0"/>
        <v>9321.0873925700726</v>
      </c>
      <c r="D67" s="43">
        <f t="shared" si="1"/>
        <v>0.42602145735023589</v>
      </c>
      <c r="E67" s="43">
        <f t="shared" si="2"/>
        <v>0.18082081913197459</v>
      </c>
      <c r="F67" s="43">
        <f t="shared" si="3"/>
        <v>0.18123286168740971</v>
      </c>
      <c r="T67" s="12"/>
      <c r="U67" s="14"/>
      <c r="W67" s="14"/>
      <c r="X67" s="14"/>
      <c r="Y67" s="14"/>
      <c r="Z67" s="14"/>
      <c r="AA67" s="14"/>
    </row>
    <row r="68" spans="2:27" ht="14.4" x14ac:dyDescent="0.3">
      <c r="B68" s="36">
        <v>4.3999999999999997E-2</v>
      </c>
      <c r="C68" s="43">
        <f t="shared" si="0"/>
        <v>9319.5530825873411</v>
      </c>
      <c r="D68" s="43">
        <f t="shared" si="1"/>
        <v>0.42575219586198609</v>
      </c>
      <c r="E68" s="43">
        <f t="shared" si="2"/>
        <v>0.18072120794046659</v>
      </c>
      <c r="F68" s="43">
        <f t="shared" si="3"/>
        <v>0.18108285605768082</v>
      </c>
      <c r="T68" s="12"/>
      <c r="U68" s="14"/>
      <c r="W68" s="14"/>
      <c r="X68" s="14"/>
      <c r="Y68" s="14"/>
      <c r="Z68" s="14"/>
      <c r="AA68" s="14"/>
    </row>
    <row r="69" spans="2:27" ht="14.4" x14ac:dyDescent="0.3">
      <c r="B69" s="36">
        <v>4.4999999999999998E-2</v>
      </c>
      <c r="C69" s="43">
        <f t="shared" si="0"/>
        <v>9318.0388547389375</v>
      </c>
      <c r="D69" s="43">
        <f t="shared" si="1"/>
        <v>0.42548663722725805</v>
      </c>
      <c r="E69" s="43">
        <f t="shared" si="2"/>
        <v>0.18062268288137795</v>
      </c>
      <c r="F69" s="43">
        <f t="shared" si="3"/>
        <v>0.1809349026357851</v>
      </c>
      <c r="T69" s="12"/>
      <c r="U69" s="14"/>
      <c r="W69" s="14"/>
      <c r="X69" s="14"/>
      <c r="Y69" s="14"/>
      <c r="Z69" s="14"/>
      <c r="AA69" s="14"/>
    </row>
    <row r="70" spans="2:27" ht="14.4" x14ac:dyDescent="0.3">
      <c r="B70" s="36">
        <v>4.5999999999999999E-2</v>
      </c>
      <c r="C70" s="43">
        <f t="shared" si="0"/>
        <v>9316.5439738735477</v>
      </c>
      <c r="D70" s="43">
        <f t="shared" si="1"/>
        <v>0.42522464425898371</v>
      </c>
      <c r="E70" s="43">
        <f t="shared" si="2"/>
        <v>0.18052520579314796</v>
      </c>
      <c r="F70" s="43">
        <f t="shared" si="3"/>
        <v>0.1807889254859858</v>
      </c>
      <c r="T70" s="12"/>
      <c r="U70" s="14"/>
      <c r="W70" s="14"/>
      <c r="X70" s="14"/>
      <c r="Y70" s="14"/>
      <c r="Z70" s="14"/>
      <c r="AA70" s="14"/>
    </row>
    <row r="71" spans="2:27" ht="14.4" x14ac:dyDescent="0.3">
      <c r="B71" s="36">
        <v>4.7E-2</v>
      </c>
      <c r="C71" s="43">
        <f t="shared" si="0"/>
        <v>9315.0677468772228</v>
      </c>
      <c r="D71" s="43">
        <f t="shared" si="1"/>
        <v>0.42496608768235405</v>
      </c>
      <c r="E71" s="43">
        <f t="shared" si="2"/>
        <v>0.18042874062995728</v>
      </c>
      <c r="F71" s="43">
        <f t="shared" si="3"/>
        <v>0.18064485304819233</v>
      </c>
      <c r="T71" s="12"/>
      <c r="U71" s="14"/>
      <c r="W71" s="14"/>
      <c r="X71" s="14"/>
      <c r="Y71" s="14"/>
      <c r="Z71" s="14"/>
      <c r="AA71" s="14"/>
    </row>
    <row r="72" spans="2:27" ht="14.4" x14ac:dyDescent="0.3">
      <c r="B72" s="36">
        <v>4.8000000000000001E-2</v>
      </c>
      <c r="C72" s="43">
        <f t="shared" si="0"/>
        <v>9313.6095194299651</v>
      </c>
      <c r="D72" s="43">
        <f t="shared" si="1"/>
        <v>0.42471084552055666</v>
      </c>
      <c r="E72" s="43">
        <f t="shared" si="2"/>
        <v>0.18033325330208921</v>
      </c>
      <c r="F72" s="43">
        <f t="shared" si="3"/>
        <v>0.18050261779848098</v>
      </c>
      <c r="T72" s="12"/>
      <c r="U72" s="14"/>
      <c r="W72" s="14"/>
      <c r="X72" s="14"/>
      <c r="Y72" s="14"/>
      <c r="Z72" s="14"/>
      <c r="AA72" s="14"/>
    </row>
    <row r="73" spans="2:27" ht="14.4" x14ac:dyDescent="0.3">
      <c r="B73" s="36">
        <v>4.9000000000000002E-2</v>
      </c>
      <c r="C73" s="43">
        <f t="shared" si="0"/>
        <v>9312.1686730746205</v>
      </c>
      <c r="D73" s="43">
        <f t="shared" si="1"/>
        <v>0.42445880253994106</v>
      </c>
      <c r="E73" s="43">
        <f t="shared" si="2"/>
        <v>0.18023871153139426</v>
      </c>
      <c r="F73" s="43">
        <f t="shared" si="3"/>
        <v>0.1803621559424422</v>
      </c>
      <c r="T73" s="12"/>
      <c r="U73" s="14"/>
      <c r="W73" s="14"/>
      <c r="X73" s="14"/>
      <c r="Y73" s="14"/>
      <c r="Z73" s="14"/>
      <c r="AA73" s="14"/>
    </row>
    <row r="74" spans="2:27" ht="14.4" x14ac:dyDescent="0.3">
      <c r="B74" s="36">
        <v>0.05</v>
      </c>
      <c r="C74" s="43">
        <f t="shared" si="0"/>
        <v>9310.7446225622298</v>
      </c>
      <c r="D74" s="43">
        <f t="shared" si="1"/>
        <v>0.4242098497477732</v>
      </c>
      <c r="E74" s="43">
        <f t="shared" si="2"/>
        <v>0.18014508472015051</v>
      </c>
      <c r="F74" s="43">
        <f t="shared" si="3"/>
        <v>0.18022340713757837</v>
      </c>
      <c r="T74" s="12"/>
      <c r="U74" s="14"/>
      <c r="W74" s="14"/>
      <c r="X74" s="14"/>
      <c r="Y74" s="14"/>
      <c r="Z74" s="14"/>
      <c r="AA74" s="14"/>
    </row>
    <row r="75" spans="2:27" ht="14.4" x14ac:dyDescent="0.3">
      <c r="B75" s="36">
        <v>5.0999999999999997E-2</v>
      </c>
      <c r="C75" s="43">
        <f t="shared" si="0"/>
        <v>9309.3368134427838</v>
      </c>
      <c r="D75" s="43">
        <f t="shared" si="1"/>
        <v>0.42396388393664669</v>
      </c>
      <c r="E75" s="43">
        <f t="shared" si="2"/>
        <v>0.18005234383183724</v>
      </c>
      <c r="F75" s="43">
        <f t="shared" si="3"/>
        <v>0.1800863142414772</v>
      </c>
      <c r="T75" s="12"/>
      <c r="U75" s="14"/>
      <c r="W75" s="14"/>
      <c r="X75" s="14"/>
      <c r="Y75" s="14"/>
      <c r="Z75" s="14"/>
      <c r="AA75" s="14"/>
    </row>
    <row r="76" spans="2:27" ht="14.4" x14ac:dyDescent="0.3">
      <c r="B76" s="36">
        <v>5.1999999999999998E-2</v>
      </c>
      <c r="C76" s="43">
        <f t="shared" si="0"/>
        <v>9307.9447198743856</v>
      </c>
      <c r="D76" s="43">
        <f t="shared" si="1"/>
        <v>0.42372080727039152</v>
      </c>
      <c r="E76" s="43">
        <f t="shared" si="2"/>
        <v>0.17996046128252777</v>
      </c>
      <c r="F76" s="43">
        <f t="shared" si="3"/>
        <v>0.17995082308291077</v>
      </c>
      <c r="T76" s="12"/>
      <c r="U76" s="14"/>
      <c r="W76" s="14"/>
      <c r="X76" s="14"/>
      <c r="Y76" s="14"/>
      <c r="Z76" s="14"/>
      <c r="AA76" s="14"/>
    </row>
    <row r="77" spans="2:27" ht="14.4" x14ac:dyDescent="0.3">
      <c r="B77" s="36">
        <v>5.2999999999999999E-2</v>
      </c>
      <c r="C77" s="43">
        <f t="shared" si="0"/>
        <v>9306.5678426271825</v>
      </c>
      <c r="D77" s="43">
        <f t="shared" si="1"/>
        <v>0.42348052690697846</v>
      </c>
      <c r="E77" s="43">
        <f t="shared" si="2"/>
        <v>0.17986941084177052</v>
      </c>
      <c r="F77" s="43">
        <f t="shared" si="3"/>
        <v>0.17981688225337483</v>
      </c>
      <c r="T77" s="12"/>
      <c r="U77" s="14"/>
      <c r="W77" s="14"/>
      <c r="X77" s="14"/>
      <c r="Y77" s="14"/>
      <c r="Z77" s="14"/>
      <c r="AA77" s="14"/>
    </row>
    <row r="78" spans="2:27" ht="14.4" x14ac:dyDescent="0.3">
      <c r="B78" s="36">
        <v>5.3999999999999999E-2</v>
      </c>
      <c r="C78" s="43">
        <f t="shared" si="0"/>
        <v>9305.2057072614352</v>
      </c>
      <c r="D78" s="43">
        <f t="shared" si="1"/>
        <v>0.42324295465448158</v>
      </c>
      <c r="E78" s="43">
        <f t="shared" si="2"/>
        <v>0.17977916754196716</v>
      </c>
      <c r="F78" s="43">
        <f t="shared" si="3"/>
        <v>0.17968444291689337</v>
      </c>
      <c r="T78" s="12"/>
      <c r="U78" s="14"/>
      <c r="W78" s="14"/>
      <c r="X78" s="14"/>
      <c r="Y78" s="14"/>
      <c r="Z78" s="14"/>
      <c r="AA78" s="14"/>
    </row>
    <row r="79" spans="2:27" ht="14.4" x14ac:dyDescent="0.3">
      <c r="B79" s="36">
        <v>5.5E-2</v>
      </c>
      <c r="C79" s="43">
        <f t="shared" si="0"/>
        <v>9303.8578624616039</v>
      </c>
      <c r="D79" s="43">
        <f t="shared" si="1"/>
        <v>0.4230080066566449</v>
      </c>
      <c r="E79" s="43">
        <f t="shared" si="2"/>
        <v>0.17968970759537578</v>
      </c>
      <c r="F79" s="43">
        <f t="shared" si="3"/>
        <v>0.17955345863618111</v>
      </c>
      <c r="T79" s="38"/>
      <c r="U79" s="14"/>
      <c r="W79" s="14"/>
      <c r="X79" s="14"/>
      <c r="Y79" s="14"/>
      <c r="Z79" s="14"/>
      <c r="AA79" s="14"/>
    </row>
    <row r="80" spans="2:27" ht="14.4" x14ac:dyDescent="0.3">
      <c r="B80" s="36">
        <v>5.6000000000000001E-2</v>
      </c>
      <c r="C80" s="43">
        <f t="shared" si="0"/>
        <v>9302.5238785105103</v>
      </c>
      <c r="D80" s="43">
        <f t="shared" si="1"/>
        <v>0.42277560310501583</v>
      </c>
      <c r="E80" s="43">
        <f t="shared" si="2"/>
        <v>0.17960100831797143</v>
      </c>
      <c r="F80" s="43">
        <f t="shared" si="3"/>
        <v>0.17942388521348618</v>
      </c>
    </row>
    <row r="81" spans="2:6" ht="14.4" x14ac:dyDescent="0.3">
      <c r="B81" s="36">
        <v>5.7000000000000002E-2</v>
      </c>
      <c r="C81" s="43">
        <f t="shared" si="0"/>
        <v>9301.203345889513</v>
      </c>
      <c r="D81" s="43">
        <f t="shared" si="1"/>
        <v>0.42254566797496929</v>
      </c>
      <c r="E81" s="43">
        <f t="shared" si="2"/>
        <v>0.17951304805948565</v>
      </c>
      <c r="F81" s="43">
        <f t="shared" si="3"/>
        <v>0.17929568054463488</v>
      </c>
    </row>
    <row r="82" spans="2:6" ht="14.4" x14ac:dyDescent="0.3">
      <c r="B82" s="36">
        <v>5.8000000000000003E-2</v>
      </c>
      <c r="C82" s="43">
        <f t="shared" si="0"/>
        <v>9299.8958739922655</v>
      </c>
      <c r="D82" s="43">
        <f t="shared" si="1"/>
        <v>0.42231812878325609</v>
      </c>
      <c r="E82" s="43">
        <f t="shared" si="2"/>
        <v>0.17942580613902387</v>
      </c>
      <c r="F82" s="43">
        <f t="shared" si="3"/>
        <v>0.17916880448497124</v>
      </c>
    </row>
    <row r="83" spans="2:6" ht="14.4" x14ac:dyDescent="0.3">
      <c r="B83" s="36">
        <v>5.8999999999999997E-2</v>
      </c>
      <c r="C83" s="43">
        <f t="shared" si="0"/>
        <v>9298.6010899410685</v>
      </c>
      <c r="D83" s="43">
        <f t="shared" si="1"/>
        <v>0.4220929163649822</v>
      </c>
      <c r="E83" s="43">
        <f t="shared" si="2"/>
        <v>0.17933926278572876</v>
      </c>
      <c r="F83" s="43">
        <f t="shared" si="3"/>
        <v>0.17904321872603546</v>
      </c>
    </row>
    <row r="84" spans="2:6" ht="14.4" x14ac:dyDescent="0.3">
      <c r="B84" s="36">
        <v>0.06</v>
      </c>
      <c r="C84" s="43">
        <f t="shared" si="0"/>
        <v>9297.3186374960096</v>
      </c>
      <c r="D84" s="43">
        <f t="shared" si="1"/>
        <v>0.42186996466815913</v>
      </c>
      <c r="E84" s="43">
        <f t="shared" si="2"/>
        <v>0.17925339908401466</v>
      </c>
      <c r="F84" s="43">
        <f t="shared" si="3"/>
        <v>0.1789188866819531</v>
      </c>
    </row>
    <row r="85" spans="2:6" ht="14.4" x14ac:dyDescent="0.3">
      <c r="B85" s="36">
        <v>6.0999999999999999E-2</v>
      </c>
      <c r="C85" s="43">
        <f t="shared" si="0"/>
        <v>9296.0481760482271</v>
      </c>
      <c r="D85" s="43">
        <f t="shared" si="1"/>
        <v>0.42164921056417315</v>
      </c>
      <c r="E85" s="43">
        <f t="shared" si="2"/>
        <v>0.17916819692295172</v>
      </c>
      <c r="F85" s="43">
        <f t="shared" si="3"/>
        <v>0.1787957733846231</v>
      </c>
    </row>
    <row r="86" spans="2:6" ht="14.4" x14ac:dyDescent="0.3">
      <c r="B86" s="36">
        <v>6.2E-2</v>
      </c>
      <c r="C86" s="43">
        <f t="shared" si="0"/>
        <v>9294.7893796895278</v>
      </c>
      <c r="D86" s="43">
        <f t="shared" si="1"/>
        <v>0.42143059367269997</v>
      </c>
      <c r="E86" s="43">
        <f t="shared" si="2"/>
        <v>0.17908363894942181</v>
      </c>
      <c r="F86" s="43">
        <f t="shared" si="3"/>
        <v>0.17867384538688968</v>
      </c>
    </row>
    <row r="87" spans="2:6" ht="14.4" x14ac:dyDescent="0.3">
      <c r="B87" s="36">
        <v>6.3E-2</v>
      </c>
      <c r="C87" s="43">
        <f t="shared" si="0"/>
        <v>9293.5419363514302</v>
      </c>
      <c r="D87" s="43">
        <f t="shared" si="1"/>
        <v>0.42121405619974889</v>
      </c>
      <c r="E87" s="43">
        <f t="shared" si="2"/>
        <v>0.17899970852471028</v>
      </c>
      <c r="F87" s="43">
        <f t="shared" si="3"/>
        <v>0.1785530706729721</v>
      </c>
    </row>
    <row r="88" spans="2:6" ht="14.4" x14ac:dyDescent="0.3">
      <c r="B88" s="36">
        <v>6.4000000000000001E-2</v>
      </c>
      <c r="C88" s="43">
        <f t="shared" si="0"/>
        <v>9292.3055470074487</v>
      </c>
      <c r="D88" s="43">
        <f t="shared" si="1"/>
        <v>0.42099954278766116</v>
      </c>
      <c r="E88" s="43">
        <f t="shared" si="2"/>
        <v>0.17891638968422985</v>
      </c>
      <c r="F88" s="43">
        <f t="shared" si="3"/>
        <v>0.17843341857550199</v>
      </c>
    </row>
    <row r="89" spans="2:6" ht="14.4" x14ac:dyDescent="0.3">
      <c r="B89" s="36">
        <v>6.5000000000000002E-2</v>
      </c>
      <c r="C89" s="43">
        <f t="shared" ref="C89:C152" si="4">_xlfn.BETA.INV((1-B89),$C$7,$C$8)*($C$5-$C$3)+$C$3</f>
        <v>9291.0799249330612</v>
      </c>
      <c r="D89" s="43">
        <f t="shared" ref="D89:D152" si="5">_xlfn.BETA.INV((1-B89),$D$7,$D$8)*($D$5-$D$3)+$D$3</f>
        <v>0.42078700037600669</v>
      </c>
      <c r="E89" s="43">
        <f t="shared" ref="E89:E152" si="6">_xlfn.BETA.INV((1-B89),$E$7,$E$8)*($E$5-$E$3)+$E$3</f>
        <v>0.17883366710010665</v>
      </c>
      <c r="F89" s="43">
        <f t="shared" ref="F89:F152" si="7">_xlfn.BETA.INV((1-B89),$F$7,$F$8)*($F$5-$F$3)+$F$3</f>
        <v>0.17831485969858529</v>
      </c>
    </row>
    <row r="90" spans="2:6" ht="14.4" x14ac:dyDescent="0.3">
      <c r="B90" s="36">
        <v>6.6000000000000003E-2</v>
      </c>
      <c r="C90" s="43">
        <f t="shared" si="4"/>
        <v>9289.8647950183531</v>
      </c>
      <c r="D90" s="43">
        <f t="shared" si="5"/>
        <v>0.42057637807243298</v>
      </c>
      <c r="E90" s="43">
        <f t="shared" si="6"/>
        <v>0.17875152604638345</v>
      </c>
      <c r="F90" s="43">
        <f t="shared" si="7"/>
        <v>0.178197365846366</v>
      </c>
    </row>
    <row r="91" spans="2:6" ht="14.4" x14ac:dyDescent="0.3">
      <c r="B91" s="36">
        <v>6.7000000000000004E-2</v>
      </c>
      <c r="C91" s="43">
        <f t="shared" si="4"/>
        <v>9288.6598931288681</v>
      </c>
      <c r="D91" s="43">
        <f t="shared" si="5"/>
        <v>0.42036762703261465</v>
      </c>
      <c r="E91" s="43">
        <f t="shared" si="6"/>
        <v>0.1786699523666207</v>
      </c>
      <c r="F91" s="43">
        <f t="shared" si="7"/>
        <v>0.17808090995662126</v>
      </c>
    </row>
    <row r="92" spans="2:6" ht="14.4" x14ac:dyDescent="0.3">
      <c r="B92" s="36">
        <v>6.8000000000000005E-2</v>
      </c>
      <c r="C92" s="43">
        <f t="shared" si="4"/>
        <v>9287.4649655106077</v>
      </c>
      <c r="D92" s="43">
        <f t="shared" si="5"/>
        <v>0.4201607003485367</v>
      </c>
      <c r="E92" s="43">
        <f t="shared" si="6"/>
        <v>0.17858893244369664</v>
      </c>
      <c r="F92" s="43">
        <f t="shared" si="7"/>
        <v>0.17796546603896335</v>
      </c>
    </row>
    <row r="93" spans="2:6" ht="14.4" x14ac:dyDescent="0.3">
      <c r="B93" s="36">
        <v>6.9000000000000006E-2</v>
      </c>
      <c r="C93" s="43">
        <f t="shared" si="4"/>
        <v>9286.2797682355285</v>
      </c>
      <c r="D93" s="43">
        <f t="shared" si="5"/>
        <v>0.41995555294441894</v>
      </c>
      <c r="E93" s="43">
        <f t="shared" si="6"/>
        <v>0.17850845317162756</v>
      </c>
      <c r="F93" s="43">
        <f t="shared" si="7"/>
        <v>0.17785100911726692</v>
      </c>
    </row>
    <row r="94" spans="2:6" ht="14.4" x14ac:dyDescent="0.3">
      <c r="B94" s="36">
        <v>7.0000000000000007E-2</v>
      </c>
      <c r="C94" s="43">
        <f t="shared" si="4"/>
        <v>9285.1040666842509</v>
      </c>
      <c r="D94" s="43">
        <f t="shared" si="5"/>
        <v>0.41975214147965645</v>
      </c>
      <c r="E94" s="43">
        <f t="shared" si="6"/>
        <v>0.17842850192924542</v>
      </c>
      <c r="F94" s="43">
        <f t="shared" si="7"/>
        <v>0.17773751517597489</v>
      </c>
    </row>
    <row r="95" spans="2:6" ht="14.4" x14ac:dyDescent="0.3">
      <c r="B95" s="36">
        <v>7.0999999999999994E-2</v>
      </c>
      <c r="C95" s="43">
        <f t="shared" si="4"/>
        <v>9283.9376350629536</v>
      </c>
      <c r="D95" s="43">
        <f t="shared" si="5"/>
        <v>0.41955042425821026</v>
      </c>
      <c r="E95" s="43">
        <f t="shared" si="6"/>
        <v>0.17834906655558638</v>
      </c>
      <c r="F95" s="43">
        <f t="shared" si="7"/>
        <v>0.17762496110997117</v>
      </c>
    </row>
    <row r="96" spans="2:6" ht="14.4" x14ac:dyDescent="0.3">
      <c r="B96" s="36">
        <v>7.1999999999999995E-2</v>
      </c>
      <c r="C96" s="43">
        <f t="shared" si="4"/>
        <v>9282.7802559517859</v>
      </c>
      <c r="D96" s="43">
        <f t="shared" si="5"/>
        <v>0.41935036114393415</v>
      </c>
      <c r="E96" s="43">
        <f t="shared" si="6"/>
        <v>0.17827013532685562</v>
      </c>
      <c r="F96" s="43">
        <f t="shared" si="7"/>
        <v>0.17751332467773551</v>
      </c>
    </row>
    <row r="97" spans="2:6" ht="14.4" x14ac:dyDescent="0.3">
      <c r="B97" s="36">
        <v>7.2999999999999995E-2</v>
      </c>
      <c r="C97" s="43">
        <f t="shared" si="4"/>
        <v>9281.6317198823053</v>
      </c>
      <c r="D97" s="43">
        <f t="shared" si="5"/>
        <v>0.41915191348137287</v>
      </c>
      <c r="E97" s="43">
        <f t="shared" si="6"/>
        <v>0.17819169693484804</v>
      </c>
      <c r="F97" s="43">
        <f t="shared" si="7"/>
        <v>0.17740258445752405</v>
      </c>
    </row>
    <row r="98" spans="2:6" ht="14.4" x14ac:dyDescent="0.3">
      <c r="B98" s="36">
        <v>7.3999999999999996E-2</v>
      </c>
      <c r="C98" s="43">
        <f t="shared" si="4"/>
        <v>9280.4918249417224</v>
      </c>
      <c r="D98" s="43">
        <f t="shared" si="5"/>
        <v>0.41895504402160821</v>
      </c>
      <c r="E98" s="43">
        <f t="shared" si="6"/>
        <v>0.17811374046671374</v>
      </c>
      <c r="F98" s="43">
        <f t="shared" si="7"/>
        <v>0.17729271980634084</v>
      </c>
    </row>
    <row r="99" spans="2:6" ht="14.4" x14ac:dyDescent="0.3">
      <c r="B99" s="36">
        <v>7.4999999999999997E-2</v>
      </c>
      <c r="C99" s="43">
        <f t="shared" si="4"/>
        <v>9279.3603764019044</v>
      </c>
      <c r="D99" s="43">
        <f t="shared" si="5"/>
        <v>0.41875971685276647</v>
      </c>
      <c r="E99" s="43">
        <f t="shared" si="6"/>
        <v>0.17803625538596723</v>
      </c>
      <c r="F99" s="43">
        <f t="shared" si="7"/>
        <v>0.17718371082148765</v>
      </c>
    </row>
    <row r="100" spans="2:6" ht="14.4" x14ac:dyDescent="0.3">
      <c r="B100" s="36">
        <v>7.5999999999999998E-2</v>
      </c>
      <c r="C100" s="43">
        <f t="shared" si="4"/>
        <v>9278.2371863712724</v>
      </c>
      <c r="D100" s="43">
        <f t="shared" si="5"/>
        <v>0.41856589733483812</v>
      </c>
      <c r="E100" s="43">
        <f t="shared" si="6"/>
        <v>0.17795923151464932</v>
      </c>
      <c r="F100" s="43">
        <f t="shared" si="7"/>
        <v>0.17707553830449804</v>
      </c>
    </row>
    <row r="101" spans="2:6" ht="14.4" x14ac:dyDescent="0.3">
      <c r="B101" s="36">
        <v>7.6999999999999999E-2</v>
      </c>
      <c r="C101" s="43">
        <f t="shared" si="4"/>
        <v>9277.1220734679227</v>
      </c>
      <c r="D101" s="43">
        <f t="shared" si="5"/>
        <v>0.41837355203848731</v>
      </c>
      <c r="E101" s="43">
        <f t="shared" si="6"/>
        <v>0.17788265901655631</v>
      </c>
      <c r="F101" s="43">
        <f t="shared" si="7"/>
        <v>0.17696818372727821</v>
      </c>
    </row>
    <row r="102" spans="2:6" ht="14.4" x14ac:dyDescent="0.3">
      <c r="B102" s="36">
        <v>7.8E-2</v>
      </c>
      <c r="C102" s="43">
        <f t="shared" si="4"/>
        <v>9276.0148625123948</v>
      </c>
      <c r="D102" s="43">
        <f t="shared" si="5"/>
        <v>0.41818264868755928</v>
      </c>
      <c r="E102" s="43">
        <f t="shared" si="6"/>
        <v>0.17780652838146085</v>
      </c>
      <c r="F102" s="43">
        <f t="shared" si="7"/>
        <v>0.17686162920029302</v>
      </c>
    </row>
    <row r="103" spans="2:6" ht="14.4" x14ac:dyDescent="0.3">
      <c r="B103" s="36">
        <v>7.9000000000000001E-2</v>
      </c>
      <c r="C103" s="43">
        <f t="shared" si="4"/>
        <v>9274.9153842386841</v>
      </c>
      <c r="D103" s="43">
        <f t="shared" si="5"/>
        <v>0.41799315610501797</v>
      </c>
      <c r="E103" s="43">
        <f t="shared" si="6"/>
        <v>0.17773083041025284</v>
      </c>
      <c r="F103" s="43">
        <f t="shared" si="7"/>
        <v>0.17675585744264899</v>
      </c>
    </row>
    <row r="104" spans="2:6" ht="14.4" x14ac:dyDescent="0.3">
      <c r="B104" s="36">
        <v>0.08</v>
      </c>
      <c r="C104" s="43">
        <f t="shared" si="4"/>
        <v>9273.8234750221891</v>
      </c>
      <c r="D104" s="43">
        <f t="shared" si="5"/>
        <v>0.41780504416206793</v>
      </c>
      <c r="E104" s="43">
        <f t="shared" si="6"/>
        <v>0.17765555620093665</v>
      </c>
      <c r="F104" s="43">
        <f t="shared" si="7"/>
        <v>0.1766508517539388</v>
      </c>
    </row>
    <row r="105" spans="2:6" ht="14.4" x14ac:dyDescent="0.3">
      <c r="B105" s="36">
        <v>8.1000000000000003E-2</v>
      </c>
      <c r="C105" s="43">
        <f t="shared" si="4"/>
        <v>9272.7389766234137</v>
      </c>
      <c r="D105" s="43">
        <f t="shared" si="5"/>
        <v>0.41761828373023624</v>
      </c>
      <c r="E105" s="43">
        <f t="shared" si="6"/>
        <v>0.17758069713542476</v>
      </c>
      <c r="F105" s="43">
        <f t="shared" si="7"/>
        <v>0.17654659598772254</v>
      </c>
    </row>
    <row r="106" spans="2:6" ht="14.4" x14ac:dyDescent="0.3">
      <c r="B106" s="36">
        <v>8.2000000000000003E-2</v>
      </c>
      <c r="C106" s="43">
        <f t="shared" si="4"/>
        <v>9271.6617359463198</v>
      </c>
      <c r="D106" s="43">
        <f t="shared" si="5"/>
        <v>0.41743284663620717</v>
      </c>
      <c r="E106" s="43">
        <f t="shared" si="6"/>
        <v>0.17750624486707334</v>
      </c>
      <c r="F106" s="43">
        <f t="shared" si="7"/>
        <v>0.17644307452653207</v>
      </c>
    </row>
    <row r="107" spans="2:6" ht="14.4" x14ac:dyDescent="0.3">
      <c r="B107" s="36">
        <v>8.3000000000000004E-2</v>
      </c>
      <c r="C107" s="43">
        <f t="shared" si="4"/>
        <v>9270.5916048103281</v>
      </c>
      <c r="D107" s="43">
        <f t="shared" si="5"/>
        <v>0.41724870561922056</v>
      </c>
      <c r="E107" s="43">
        <f t="shared" si="6"/>
        <v>0.17743219130890983</v>
      </c>
      <c r="F107" s="43">
        <f t="shared" si="7"/>
        <v>0.17634027225829338</v>
      </c>
    </row>
    <row r="108" spans="2:6" ht="14.4" x14ac:dyDescent="0.3">
      <c r="B108" s="36">
        <v>8.4000000000000005E-2</v>
      </c>
      <c r="C108" s="43">
        <f t="shared" si="4"/>
        <v>9269.5284397350424</v>
      </c>
      <c r="D108" s="43">
        <f t="shared" si="5"/>
        <v>0.41706583429085897</v>
      </c>
      <c r="E108" s="43">
        <f t="shared" si="6"/>
        <v>0.1773585286225059</v>
      </c>
      <c r="F108" s="43">
        <f t="shared" si="7"/>
        <v>0.17623817455406993</v>
      </c>
    </row>
    <row r="109" spans="2:6" ht="14.4" x14ac:dyDescent="0.3">
      <c r="B109" s="36">
        <v>8.5000000000000006E-2</v>
      </c>
      <c r="C109" s="43">
        <f t="shared" si="4"/>
        <v>9268.4721017368483</v>
      </c>
      <c r="D109" s="43">
        <f t="shared" si="5"/>
        <v>0.41688420709706331</v>
      </c>
      <c r="E109" s="43">
        <f t="shared" si="6"/>
        <v>0.17728524920745353</v>
      </c>
      <c r="F109" s="43">
        <f t="shared" si="7"/>
        <v>0.17613676724703925</v>
      </c>
    </row>
    <row r="110" spans="2:6" ht="14.4" x14ac:dyDescent="0.3">
      <c r="B110" s="36">
        <v>8.5999999999999993E-2</v>
      </c>
      <c r="C110" s="43">
        <f t="shared" si="4"/>
        <v>9267.4224561365882</v>
      </c>
      <c r="D110" s="43">
        <f t="shared" si="5"/>
        <v>0.41670379928222784</v>
      </c>
      <c r="E110" s="43">
        <f t="shared" si="6"/>
        <v>0.17721234569140443</v>
      </c>
      <c r="F110" s="43">
        <f t="shared" si="7"/>
        <v>0.17603603661261974</v>
      </c>
    </row>
    <row r="111" spans="2:6" ht="14.4" x14ac:dyDescent="0.3">
      <c r="B111" s="36">
        <v>8.6999999999999994E-2</v>
      </c>
      <c r="C111" s="43">
        <f t="shared" si="4"/>
        <v>9266.3793723775962</v>
      </c>
      <c r="D111" s="43">
        <f t="shared" si="5"/>
        <v>0.41652458685523924</v>
      </c>
      <c r="E111" s="43">
        <f t="shared" si="6"/>
        <v>0.17713981092063685</v>
      </c>
      <c r="F111" s="43">
        <f t="shared" si="7"/>
        <v>0.17593596934967254</v>
      </c>
    </row>
    <row r="112" spans="2:6" ht="14.4" x14ac:dyDescent="0.3">
      <c r="B112" s="36">
        <v>8.7999999999999995E-2</v>
      </c>
      <c r="C112" s="43">
        <f t="shared" si="4"/>
        <v>9265.3427238534259</v>
      </c>
      <c r="D112" s="43">
        <f t="shared" si="5"/>
        <v>0.41634654655733216</v>
      </c>
      <c r="E112" s="43">
        <f t="shared" si="6"/>
        <v>0.17706763795111596</v>
      </c>
      <c r="F112" s="43">
        <f t="shared" si="7"/>
        <v>0.17583655256270891</v>
      </c>
    </row>
    <row r="113" spans="2:6" ht="14.4" x14ac:dyDescent="0.3">
      <c r="B113" s="36">
        <v>8.8999999999999996E-2</v>
      </c>
      <c r="C113" s="43">
        <f t="shared" si="4"/>
        <v>9264.3123877446524</v>
      </c>
      <c r="D113" s="43">
        <f t="shared" si="5"/>
        <v>0.41616965583164556</v>
      </c>
      <c r="E113" s="43">
        <f t="shared" si="6"/>
        <v>0.17699582004001652</v>
      </c>
      <c r="F113" s="43">
        <f t="shared" si="7"/>
        <v>0.17573777374503807</v>
      </c>
    </row>
    <row r="114" spans="2:6" ht="14.4" x14ac:dyDescent="0.3">
      <c r="B114" s="36">
        <v>0.09</v>
      </c>
      <c r="C114" s="43">
        <f t="shared" si="4"/>
        <v>9263.2882448641431</v>
      </c>
      <c r="D114" s="43">
        <f t="shared" si="5"/>
        <v>0.41599389279437093</v>
      </c>
      <c r="E114" s="43">
        <f t="shared" si="6"/>
        <v>0.17692435063767936</v>
      </c>
      <c r="F114" s="43">
        <f t="shared" si="7"/>
        <v>0.17563962076279627</v>
      </c>
    </row>
    <row r="115" spans="2:6" ht="14.4" x14ac:dyDescent="0.3">
      <c r="B115" s="36">
        <v>9.0999999999999998E-2</v>
      </c>
      <c r="C115" s="43">
        <f t="shared" si="4"/>
        <v>9262.2701795103276</v>
      </c>
      <c r="D115" s="43">
        <f t="shared" si="5"/>
        <v>0.41581923620739342</v>
      </c>
      <c r="E115" s="43">
        <f t="shared" si="6"/>
        <v>0.17685322337997467</v>
      </c>
      <c r="F115" s="43">
        <f t="shared" si="7"/>
        <v>0.17554208183980125</v>
      </c>
    </row>
    <row r="116" spans="2:6" ht="14.4" x14ac:dyDescent="0.3">
      <c r="B116" s="36">
        <v>9.1999999999999998E-2</v>
      </c>
      <c r="C116" s="43">
        <f t="shared" si="4"/>
        <v>9261.2580793279121</v>
      </c>
      <c r="D116" s="43">
        <f t="shared" si="5"/>
        <v>0.41564566545233211</v>
      </c>
      <c r="E116" s="43">
        <f t="shared" si="6"/>
        <v>0.17678243208104738</v>
      </c>
      <c r="F116" s="43">
        <f t="shared" si="7"/>
        <v>0.17544514554318136</v>
      </c>
    </row>
    <row r="117" spans="2:6" ht="14.4" x14ac:dyDescent="0.3">
      <c r="B117" s="36">
        <v>9.2999999999999999E-2</v>
      </c>
      <c r="C117" s="43">
        <f t="shared" si="4"/>
        <v>9260.2518351756171</v>
      </c>
      <c r="D117" s="43">
        <f t="shared" si="5"/>
        <v>0.41547316050589428</v>
      </c>
      <c r="E117" s="43">
        <f t="shared" si="6"/>
        <v>0.17671197072642136</v>
      </c>
      <c r="F117" s="43">
        <f t="shared" si="7"/>
        <v>0.17534880076973136</v>
      </c>
    </row>
    <row r="118" spans="2:6" ht="14.4" x14ac:dyDescent="0.3">
      <c r="B118" s="36">
        <v>9.4E-2</v>
      </c>
      <c r="C118" s="43">
        <f t="shared" si="4"/>
        <v>9259.2513410005013</v>
      </c>
      <c r="D118" s="43">
        <f t="shared" si="5"/>
        <v>0.41530170191646321</v>
      </c>
      <c r="E118" s="43">
        <f t="shared" si="6"/>
        <v>0.17664183346644169</v>
      </c>
      <c r="F118" s="43">
        <f t="shared" si="7"/>
        <v>0.1752530367329512</v>
      </c>
    </row>
    <row r="119" spans="2:6" ht="14.4" x14ac:dyDescent="0.3">
      <c r="B119" s="36">
        <v>9.5000000000000001E-2</v>
      </c>
      <c r="C119" s="43">
        <f t="shared" si="4"/>
        <v>9258.256493718487</v>
      </c>
      <c r="D119" s="43">
        <f t="shared" si="5"/>
        <v>0.41513127078184575</v>
      </c>
      <c r="E119" s="43">
        <f t="shared" si="6"/>
        <v>0.17657201461003391</v>
      </c>
      <c r="F119" s="43">
        <f t="shared" si="7"/>
        <v>0.17515784295072589</v>
      </c>
    </row>
    <row r="120" spans="2:6" ht="14.4" x14ac:dyDescent="0.3">
      <c r="B120" s="36">
        <v>9.6000000000000002E-2</v>
      </c>
      <c r="C120" s="43">
        <f t="shared" si="4"/>
        <v>9257.2671931007008</v>
      </c>
      <c r="D120" s="43">
        <f t="shared" si="5"/>
        <v>0.41496184872811037</v>
      </c>
      <c r="E120" s="43">
        <f t="shared" si="6"/>
        <v>0.1765025086187631</v>
      </c>
      <c r="F120" s="43">
        <f t="shared" si="7"/>
        <v>0.17506320923360943</v>
      </c>
    </row>
    <row r="121" spans="2:6" ht="14.4" x14ac:dyDescent="0.3">
      <c r="B121" s="36">
        <v>9.7000000000000003E-2</v>
      </c>
      <c r="C121" s="43">
        <f t="shared" si="4"/>
        <v>9256.2833416653102</v>
      </c>
      <c r="D121" s="43">
        <f t="shared" si="5"/>
        <v>0.41479341788945168</v>
      </c>
      <c r="E121" s="43">
        <f t="shared" si="6"/>
        <v>0.17643331010117413</v>
      </c>
      <c r="F121" s="43">
        <f t="shared" si="7"/>
        <v>0.17496912567367634</v>
      </c>
    </row>
    <row r="122" spans="2:6" ht="14.4" x14ac:dyDescent="0.3">
      <c r="B122" s="36">
        <v>9.8000000000000004E-2</v>
      </c>
      <c r="C122" s="43">
        <f t="shared" si="4"/>
        <v>9255.3048445745153</v>
      </c>
      <c r="D122" s="43">
        <f t="shared" si="5"/>
        <v>0.41462596088902126</v>
      </c>
      <c r="E122" s="43">
        <f t="shared" si="6"/>
        <v>0.17636441380739809</v>
      </c>
      <c r="F122" s="43">
        <f t="shared" si="7"/>
        <v>0.17487558263390812</v>
      </c>
    </row>
    <row r="123" spans="2:6" ht="14.4" x14ac:dyDescent="0.3">
      <c r="B123" s="36">
        <v>9.9000000000000005E-2</v>
      </c>
      <c r="C123" s="43">
        <f t="shared" si="4"/>
        <v>9254.3316095364298</v>
      </c>
      <c r="D123" s="43">
        <f t="shared" si="5"/>
        <v>0.41445946082066948</v>
      </c>
      <c r="E123" s="43">
        <f t="shared" si="6"/>
        <v>0.1762958146240089</v>
      </c>
      <c r="F123" s="43">
        <f t="shared" si="7"/>
        <v>0.17478257073808384</v>
      </c>
    </row>
    <row r="124" spans="2:6" ht="14.4" x14ac:dyDescent="0.3">
      <c r="B124" s="36">
        <v>0.1</v>
      </c>
      <c r="C124" s="43">
        <f t="shared" si="4"/>
        <v>9253.3635467115328</v>
      </c>
      <c r="D124" s="43">
        <f t="shared" si="5"/>
        <v>0.41429390123154597</v>
      </c>
      <c r="E124" s="43">
        <f t="shared" si="6"/>
        <v>0.17622750756911687</v>
      </c>
      <c r="F124" s="43">
        <f t="shared" si="7"/>
        <v>0.17469008086114582</v>
      </c>
    </row>
    <row r="125" spans="2:6" ht="14.4" x14ac:dyDescent="0.3">
      <c r="B125" s="36">
        <v>0.10100000000000001</v>
      </c>
      <c r="C125" s="43">
        <f t="shared" si="4"/>
        <v>9252.4005686234686</v>
      </c>
      <c r="D125" s="43">
        <f t="shared" si="5"/>
        <v>0.41412926610551015</v>
      </c>
      <c r="E125" s="43">
        <f t="shared" si="6"/>
        <v>0.17615948778768561</v>
      </c>
      <c r="F125" s="43">
        <f t="shared" si="7"/>
        <v>0.1745981041200137</v>
      </c>
    </row>
    <row r="126" spans="2:6" ht="14.4" x14ac:dyDescent="0.3">
      <c r="B126" s="36">
        <v>0.10199999999999999</v>
      </c>
      <c r="C126" s="43">
        <f t="shared" si="4"/>
        <v>9251.4425900739352</v>
      </c>
      <c r="D126" s="43">
        <f t="shared" si="5"/>
        <v>0.41396553984730716</v>
      </c>
      <c r="E126" s="43">
        <f t="shared" si="6"/>
        <v>0.17609175054705994</v>
      </c>
      <c r="F126" s="43">
        <f t="shared" si="7"/>
        <v>0.17450663186482196</v>
      </c>
    </row>
    <row r="127" spans="2:6" ht="14.4" x14ac:dyDescent="0.3">
      <c r="B127" s="36">
        <v>0.10299999999999999</v>
      </c>
      <c r="C127" s="43">
        <f t="shared" si="4"/>
        <v>9250.4895280614419</v>
      </c>
      <c r="D127" s="43">
        <f t="shared" si="5"/>
        <v>0.41380270726746515</v>
      </c>
      <c r="E127" s="43">
        <f t="shared" si="6"/>
        <v>0.17602429123269353</v>
      </c>
      <c r="F127" s="43">
        <f t="shared" si="7"/>
        <v>0.17441565567055711</v>
      </c>
    </row>
    <row r="128" spans="2:6" ht="14.4" x14ac:dyDescent="0.3">
      <c r="B128" s="36">
        <v>0.104</v>
      </c>
      <c r="C128" s="43">
        <f t="shared" si="4"/>
        <v>9249.5413017037135</v>
      </c>
      <c r="D128" s="43">
        <f t="shared" si="5"/>
        <v>0.41364075356787677</v>
      </c>
      <c r="E128" s="43">
        <f t="shared" si="6"/>
        <v>0.17595710534406567</v>
      </c>
      <c r="F128" s="43">
        <f t="shared" si="7"/>
        <v>0.17432516732907277</v>
      </c>
    </row>
    <row r="129" spans="2:6" ht="14.4" x14ac:dyDescent="0.3">
      <c r="B129" s="36">
        <v>0.105</v>
      </c>
      <c r="C129" s="43">
        <f t="shared" si="4"/>
        <v>9248.5978321635666</v>
      </c>
      <c r="D129" s="43">
        <f t="shared" si="5"/>
        <v>0.41347966432802474</v>
      </c>
      <c r="E129" s="43">
        <f t="shared" si="6"/>
        <v>0.17589018849077645</v>
      </c>
      <c r="F129" s="43">
        <f t="shared" si="7"/>
        <v>0.17423515884146229</v>
      </c>
    </row>
    <row r="130" spans="2:6" ht="14.4" x14ac:dyDescent="0.3">
      <c r="B130" s="36">
        <v>0.106</v>
      </c>
      <c r="C130" s="43">
        <f t="shared" si="4"/>
        <v>9247.6590425780469</v>
      </c>
      <c r="D130" s="43">
        <f t="shared" si="5"/>
        <v>0.41331942549181988</v>
      </c>
      <c r="E130" s="43">
        <f t="shared" si="6"/>
        <v>0.17582353638881182</v>
      </c>
      <c r="F130" s="43">
        <f t="shared" si="7"/>
        <v>0.17414562241076928</v>
      </c>
    </row>
    <row r="131" spans="2:6" ht="14.4" x14ac:dyDescent="0.3">
      <c r="B131" s="36">
        <v>0.107</v>
      </c>
      <c r="C131" s="43">
        <f t="shared" si="4"/>
        <v>9246.7248579906627</v>
      </c>
      <c r="D131" s="43">
        <f t="shared" si="5"/>
        <v>0.41316002335501611</v>
      </c>
      <c r="E131" s="43">
        <f t="shared" si="6"/>
        <v>0.17575714485696869</v>
      </c>
      <c r="F131" s="43">
        <f t="shared" si="7"/>
        <v>0.17405655043501825</v>
      </c>
    </row>
    <row r="132" spans="2:6" ht="14.4" x14ac:dyDescent="0.3">
      <c r="B132" s="36">
        <v>0.108</v>
      </c>
      <c r="C132" s="43">
        <f t="shared" si="4"/>
        <v>9245.7952052865603</v>
      </c>
      <c r="D132" s="43">
        <f t="shared" si="5"/>
        <v>0.41300144455317389</v>
      </c>
      <c r="E132" s="43">
        <f t="shared" si="6"/>
        <v>0.17569100981343233</v>
      </c>
      <c r="F132" s="43">
        <f t="shared" si="7"/>
        <v>0.17396793550054859</v>
      </c>
    </row>
    <row r="133" spans="2:6" ht="14.4" x14ac:dyDescent="0.3">
      <c r="B133" s="36">
        <v>0.109</v>
      </c>
      <c r="C133" s="43">
        <f t="shared" si="4"/>
        <v>9244.8700131304813</v>
      </c>
      <c r="D133" s="43">
        <f t="shared" si="5"/>
        <v>0.41284367605014272</v>
      </c>
      <c r="E133" s="43">
        <f t="shared" si="6"/>
        <v>0.17562512727249829</v>
      </c>
      <c r="F133" s="43">
        <f t="shared" si="7"/>
        <v>0.17387977037563571</v>
      </c>
    </row>
    <row r="134" spans="2:6" ht="14.4" x14ac:dyDescent="0.3">
      <c r="B134" s="36">
        <v>0.11</v>
      </c>
      <c r="C134" s="43">
        <f t="shared" si="4"/>
        <v>9243.9492119073529</v>
      </c>
      <c r="D134" s="43">
        <f t="shared" si="5"/>
        <v>0.41268670512703504</v>
      </c>
      <c r="E134" s="43">
        <f t="shared" si="6"/>
        <v>0.17555949334143112</v>
      </c>
      <c r="F134" s="43">
        <f t="shared" si="7"/>
        <v>0.17379204800438453</v>
      </c>
    </row>
    <row r="135" spans="2:6" ht="14.4" x14ac:dyDescent="0.3">
      <c r="B135" s="36">
        <v>0.111</v>
      </c>
      <c r="C135" s="43">
        <f t="shared" si="4"/>
        <v>9243.0327336653827</v>
      </c>
      <c r="D135" s="43">
        <f t="shared" si="5"/>
        <v>0.41253051937166818</v>
      </c>
      <c r="E135" s="43">
        <f t="shared" si="6"/>
        <v>0.17549410421745318</v>
      </c>
      <c r="F135" s="43">
        <f t="shared" si="7"/>
        <v>0.17370476150088165</v>
      </c>
    </row>
    <row r="136" spans="2:6" ht="14.4" x14ac:dyDescent="0.3">
      <c r="B136" s="36">
        <v>0.112</v>
      </c>
      <c r="C136" s="43">
        <f t="shared" si="4"/>
        <v>9242.1205120615286</v>
      </c>
      <c r="D136" s="43">
        <f t="shared" si="5"/>
        <v>0.41237510666844812</v>
      </c>
      <c r="E136" s="43">
        <f t="shared" si="6"/>
        <v>0.17542895618485715</v>
      </c>
      <c r="F136" s="43">
        <f t="shared" si="7"/>
        <v>0.17361790414359246</v>
      </c>
    </row>
    <row r="137" spans="2:6" ht="14.4" x14ac:dyDescent="0.3">
      <c r="B137" s="36">
        <v>0.113</v>
      </c>
      <c r="C137" s="43">
        <f t="shared" si="4"/>
        <v>9241.2124823092363</v>
      </c>
      <c r="D137" s="43">
        <f t="shared" si="5"/>
        <v>0.41222045518867456</v>
      </c>
      <c r="E137" s="43">
        <f t="shared" si="6"/>
        <v>0.17536404561223581</v>
      </c>
      <c r="F137" s="43">
        <f t="shared" si="7"/>
        <v>0.17353146936999114</v>
      </c>
    </row>
    <row r="138" spans="2:6" ht="14.4" x14ac:dyDescent="0.3">
      <c r="B138" s="36">
        <v>0.114</v>
      </c>
      <c r="C138" s="43">
        <f t="shared" si="4"/>
        <v>9240.3085811282963</v>
      </c>
      <c r="D138" s="43">
        <f t="shared" si="5"/>
        <v>0.41206655338124543</v>
      </c>
      <c r="E138" s="43">
        <f t="shared" si="6"/>
        <v>0.17529936894982356</v>
      </c>
      <c r="F138" s="43">
        <f t="shared" si="7"/>
        <v>0.17344545077141227</v>
      </c>
    </row>
    <row r="139" spans="2:6" ht="14.4" x14ac:dyDescent="0.3">
      <c r="B139" s="36">
        <v>0.115</v>
      </c>
      <c r="C139" s="43">
        <f t="shared" si="4"/>
        <v>9239.4087466967685</v>
      </c>
      <c r="D139" s="43">
        <f t="shared" si="5"/>
        <v>0.41191338996374133</v>
      </c>
      <c r="E139" s="43">
        <f t="shared" si="6"/>
        <v>0.1752349227269443</v>
      </c>
      <c r="F139" s="43">
        <f t="shared" si="7"/>
        <v>0.17335984208811223</v>
      </c>
    </row>
    <row r="140" spans="2:6" ht="14.4" x14ac:dyDescent="0.3">
      <c r="B140" s="36">
        <v>0.11600000000000001</v>
      </c>
      <c r="C140" s="43">
        <f t="shared" si="4"/>
        <v>9238.5129186048216</v>
      </c>
      <c r="D140" s="43">
        <f t="shared" si="5"/>
        <v>0.41176095391387063</v>
      </c>
      <c r="E140" s="43">
        <f t="shared" si="6"/>
        <v>0.17517070354956013</v>
      </c>
      <c r="F140" s="43">
        <f t="shared" si="7"/>
        <v>0.17327463720453054</v>
      </c>
    </row>
    <row r="141" spans="2:6" ht="14.4" x14ac:dyDescent="0.3">
      <c r="B141" s="36">
        <v>0.11700000000000001</v>
      </c>
      <c r="C141" s="43">
        <f t="shared" si="4"/>
        <v>9237.6210378104297</v>
      </c>
      <c r="D141" s="43">
        <f t="shared" si="5"/>
        <v>0.41160923446125874</v>
      </c>
      <c r="E141" s="43">
        <f t="shared" si="6"/>
        <v>0.17510670809791656</v>
      </c>
      <c r="F141" s="43">
        <f t="shared" si="7"/>
        <v>0.17318983014474176</v>
      </c>
    </row>
    <row r="142" spans="2:6" ht="14.4" x14ac:dyDescent="0.3">
      <c r="B142" s="36">
        <v>0.11799999999999999</v>
      </c>
      <c r="C142" s="43">
        <f t="shared" si="4"/>
        <v>9236.7330465968153</v>
      </c>
      <c r="D142" s="43">
        <f t="shared" si="5"/>
        <v>0.41145822107956354</v>
      </c>
      <c r="E142" s="43">
        <f t="shared" si="6"/>
        <v>0.17504293312427927</v>
      </c>
      <c r="F142" s="43">
        <f t="shared" si="7"/>
        <v>0.17310541506808808</v>
      </c>
    </row>
    <row r="143" spans="2:6" ht="14.4" x14ac:dyDescent="0.3">
      <c r="B143" s="36">
        <v>0.11899999999999999</v>
      </c>
      <c r="C143" s="43">
        <f t="shared" si="4"/>
        <v>9235.8488885315764</v>
      </c>
      <c r="D143" s="43">
        <f t="shared" si="5"/>
        <v>0.41130790347890256</v>
      </c>
      <c r="E143" s="43">
        <f t="shared" si="6"/>
        <v>0.1749793754507584</v>
      </c>
      <c r="F143" s="43">
        <f t="shared" si="7"/>
        <v>0.17302138626498392</v>
      </c>
    </row>
    <row r="144" spans="2:6" ht="14.4" x14ac:dyDescent="0.3">
      <c r="B144" s="36">
        <v>0.12</v>
      </c>
      <c r="C144" s="43">
        <f t="shared" si="4"/>
        <v>9234.9685084273915</v>
      </c>
      <c r="D144" s="43">
        <f t="shared" si="5"/>
        <v>0.41115827159857643</v>
      </c>
      <c r="E144" s="43">
        <f t="shared" si="6"/>
        <v>0.17491603196721589</v>
      </c>
      <c r="F144" s="43">
        <f t="shared" si="7"/>
        <v>0.17293773815288552</v>
      </c>
    </row>
    <row r="145" spans="2:6" ht="14.4" x14ac:dyDescent="0.3">
      <c r="B145" s="36">
        <v>0.121</v>
      </c>
      <c r="C145" s="43">
        <f t="shared" si="4"/>
        <v>9234.0918523042474</v>
      </c>
      <c r="D145" s="43">
        <f t="shared" si="5"/>
        <v>0.41100931560007459</v>
      </c>
      <c r="E145" s="43">
        <f t="shared" si="6"/>
        <v>0.17485289962925243</v>
      </c>
      <c r="F145" s="43">
        <f t="shared" si="7"/>
        <v>0.17285446527241582</v>
      </c>
    </row>
    <row r="146" spans="2:6" ht="14.4" x14ac:dyDescent="0.3">
      <c r="B146" s="36">
        <v>0.122</v>
      </c>
      <c r="C146" s="43">
        <f t="shared" si="4"/>
        <v>9233.2188673531236</v>
      </c>
      <c r="D146" s="43">
        <f t="shared" si="5"/>
        <v>0.41086102586035039</v>
      </c>
      <c r="E146" s="43">
        <f t="shared" si="6"/>
        <v>0.17478997545627034</v>
      </c>
      <c r="F146" s="43">
        <f t="shared" si="7"/>
        <v>0.17277156228363943</v>
      </c>
    </row>
    <row r="147" spans="2:6" ht="14.4" x14ac:dyDescent="0.3">
      <c r="B147" s="36">
        <v>0.123</v>
      </c>
      <c r="C147" s="43">
        <f t="shared" si="4"/>
        <v>9232.3495019010406</v>
      </c>
      <c r="D147" s="43">
        <f t="shared" si="5"/>
        <v>0.41071339296535325</v>
      </c>
      <c r="E147" s="43">
        <f t="shared" si="6"/>
        <v>0.1747272565296083</v>
      </c>
      <c r="F147" s="43">
        <f t="shared" si="7"/>
        <v>0.17268902396247893</v>
      </c>
    </row>
    <row r="148" spans="2:6" ht="14.4" x14ac:dyDescent="0.3">
      <c r="B148" s="36">
        <v>0.124</v>
      </c>
      <c r="C148" s="43">
        <f t="shared" si="4"/>
        <v>9231.4837053774354</v>
      </c>
      <c r="D148" s="43">
        <f t="shared" si="5"/>
        <v>0.41056640770380509</v>
      </c>
      <c r="E148" s="43">
        <f t="shared" si="6"/>
        <v>0.17466473999074592</v>
      </c>
      <c r="F148" s="43">
        <f t="shared" si="7"/>
        <v>0.17260684519726752</v>
      </c>
    </row>
    <row r="149" spans="2:6" ht="14.4" x14ac:dyDescent="0.3">
      <c r="B149" s="36">
        <v>0.125</v>
      </c>
      <c r="C149" s="43">
        <f t="shared" si="4"/>
        <v>9230.6214282817982</v>
      </c>
      <c r="D149" s="43">
        <f t="shared" si="5"/>
        <v>0.41042006106121132</v>
      </c>
      <c r="E149" s="43">
        <f t="shared" si="6"/>
        <v>0.17460242303957341</v>
      </c>
      <c r="F149" s="43">
        <f t="shared" si="7"/>
        <v>0.17252502098543049</v>
      </c>
    </row>
    <row r="150" spans="2:6" ht="14.4" x14ac:dyDescent="0.3">
      <c r="B150" s="36">
        <v>0.126</v>
      </c>
      <c r="C150" s="43">
        <f t="shared" si="4"/>
        <v>9229.7626221524861</v>
      </c>
      <c r="D150" s="43">
        <f t="shared" si="5"/>
        <v>0.4102743442140942</v>
      </c>
      <c r="E150" s="43">
        <f t="shared" si="6"/>
        <v>0.17454030293272504</v>
      </c>
      <c r="F150" s="43">
        <f t="shared" si="7"/>
        <v>0.17244354643029081</v>
      </c>
    </row>
    <row r="151" spans="2:6" ht="14.4" x14ac:dyDescent="0.3">
      <c r="B151" s="36">
        <v>0.127</v>
      </c>
      <c r="C151" s="43">
        <f t="shared" si="4"/>
        <v>9228.907239536722</v>
      </c>
      <c r="D151" s="43">
        <f t="shared" si="5"/>
        <v>0.41012924852444027</v>
      </c>
      <c r="E151" s="43">
        <f t="shared" si="6"/>
        <v>0.17447837698197266</v>
      </c>
      <c r="F151" s="43">
        <f t="shared" si="7"/>
        <v>0.17236241673799235</v>
      </c>
    </row>
    <row r="152" spans="2:6" ht="14.4" x14ac:dyDescent="0.3">
      <c r="B152" s="36">
        <v>0.128</v>
      </c>
      <c r="C152" s="43">
        <f t="shared" si="4"/>
        <v>9228.0552339616479</v>
      </c>
      <c r="D152" s="43">
        <f t="shared" si="5"/>
        <v>0.4099847655343507</v>
      </c>
      <c r="E152" s="43">
        <f t="shared" si="6"/>
        <v>0.1744166425526763</v>
      </c>
      <c r="F152" s="43">
        <f t="shared" si="7"/>
        <v>0.17228162721453621</v>
      </c>
    </row>
    <row r="153" spans="2:6" ht="14.4" x14ac:dyDescent="0.3">
      <c r="B153" s="36">
        <v>0.129</v>
      </c>
      <c r="C153" s="43">
        <f t="shared" ref="C153:C216" si="8">_xlfn.BETA.INV((1-B153),$C$7,$C$8)*($C$5-$C$3)+$C$3</f>
        <v>9227.2065599064626</v>
      </c>
      <c r="D153" s="43">
        <f t="shared" ref="D153:D216" si="9">_xlfn.BETA.INV((1-B153),$D$7,$D$8)*($D$5-$D$3)+$D$3</f>
        <v>0.40984088696088672</v>
      </c>
      <c r="E153" s="43">
        <f t="shared" ref="E153:E216" si="10">_xlfn.BETA.INV((1-B153),$E$7,$E$8)*($E$5-$E$3)+$E$3</f>
        <v>0.17435509706229102</v>
      </c>
      <c r="F153" s="43">
        <f t="shared" ref="F153:F216" si="11">_xlfn.BETA.INV((1-B153),$F$7,$F$8)*($F$5-$F$3)+$F$3</f>
        <v>0.17220117326292453</v>
      </c>
    </row>
    <row r="154" spans="2:6" ht="14.4" x14ac:dyDescent="0.3">
      <c r="B154" s="36">
        <v>0.13</v>
      </c>
      <c r="C154" s="43">
        <f t="shared" si="8"/>
        <v>9226.3611727755324</v>
      </c>
      <c r="D154" s="43">
        <f t="shared" si="9"/>
        <v>0.40969760469110128</v>
      </c>
      <c r="E154" s="43">
        <f t="shared" si="10"/>
        <v>0.17429373797892539</v>
      </c>
      <c r="F154" s="43">
        <f t="shared" si="11"/>
        <v>0.17212105038040787</v>
      </c>
    </row>
    <row r="155" spans="2:6" ht="14.4" x14ac:dyDescent="0.3">
      <c r="B155" s="36">
        <v>0.13100000000000001</v>
      </c>
      <c r="C155" s="43">
        <f t="shared" si="8"/>
        <v>9225.5190288724734</v>
      </c>
      <c r="D155" s="43">
        <f t="shared" si="9"/>
        <v>0.40955491077724815</v>
      </c>
      <c r="E155" s="43">
        <f t="shared" si="10"/>
        <v>0.17423256281995117</v>
      </c>
      <c r="F155" s="43">
        <f t="shared" si="11"/>
        <v>0.17204125415583055</v>
      </c>
    </row>
    <row r="156" spans="2:6" ht="14.4" x14ac:dyDescent="0.3">
      <c r="B156" s="36">
        <v>0.13200000000000001</v>
      </c>
      <c r="C156" s="43">
        <f t="shared" si="8"/>
        <v>9224.6800853751574</v>
      </c>
      <c r="D156" s="43">
        <f t="shared" si="9"/>
        <v>0.40941279743216225</v>
      </c>
      <c r="E156" s="43">
        <f t="shared" si="10"/>
        <v>0.17417156915066112</v>
      </c>
      <c r="F156" s="43">
        <f t="shared" si="11"/>
        <v>0.17196178026707087</v>
      </c>
    </row>
    <row r="157" spans="2:6" ht="14.4" x14ac:dyDescent="0.3">
      <c r="B157" s="36">
        <v>0.13300000000000001</v>
      </c>
      <c r="C157" s="43">
        <f t="shared" si="8"/>
        <v>9223.8443003115808</v>
      </c>
      <c r="D157" s="43">
        <f t="shared" si="9"/>
        <v>0.40927125702480233</v>
      </c>
      <c r="E157" s="43">
        <f t="shared" si="10"/>
        <v>0.1741107545829732</v>
      </c>
      <c r="F157" s="43">
        <f t="shared" si="11"/>
        <v>0.17188262447857144</v>
      </c>
    </row>
    <row r="158" spans="2:6" ht="14.4" x14ac:dyDescent="0.3">
      <c r="B158" s="36">
        <v>0.13400000000000001</v>
      </c>
      <c r="C158" s="43">
        <f t="shared" si="8"/>
        <v>9223.0116325365852</v>
      </c>
      <c r="D158" s="43">
        <f t="shared" si="9"/>
        <v>0.40913028207594998</v>
      </c>
      <c r="E158" s="43">
        <f t="shared" si="10"/>
        <v>0.17405011677417898</v>
      </c>
      <c r="F158" s="43">
        <f t="shared" si="11"/>
        <v>0.17180378263895577</v>
      </c>
    </row>
    <row r="159" spans="2:6" ht="14.4" x14ac:dyDescent="0.3">
      <c r="B159" s="36">
        <v>0.13500000000000001</v>
      </c>
      <c r="C159" s="43">
        <f t="shared" si="8"/>
        <v>9222.1820417093786</v>
      </c>
      <c r="D159" s="43">
        <f t="shared" si="9"/>
        <v>0.40898986525405834</v>
      </c>
      <c r="E159" s="43">
        <f t="shared" si="10"/>
        <v>0.17398965342573497</v>
      </c>
      <c r="F159" s="43">
        <f t="shared" si="11"/>
        <v>0.17172525067872801</v>
      </c>
    </row>
    <row r="160" spans="2:6" ht="14.4" x14ac:dyDescent="0.3">
      <c r="B160" s="36">
        <v>0.13600000000000001</v>
      </c>
      <c r="C160" s="43">
        <f t="shared" si="8"/>
        <v>9221.3554882718254</v>
      </c>
      <c r="D160" s="43">
        <f t="shared" si="9"/>
        <v>0.40884999937124394</v>
      </c>
      <c r="E160" s="43">
        <f t="shared" si="10"/>
        <v>0.17392936228209432</v>
      </c>
      <c r="F160" s="43">
        <f t="shared" si="11"/>
        <v>0.17164702460805192</v>
      </c>
    </row>
    <row r="161" spans="2:6" ht="14.4" x14ac:dyDescent="0.3">
      <c r="B161" s="36">
        <v>0.13700000000000001</v>
      </c>
      <c r="C161" s="43">
        <f t="shared" si="8"/>
        <v>9220.5319334274936</v>
      </c>
      <c r="D161" s="43">
        <f t="shared" si="9"/>
        <v>0.40871067737941558</v>
      </c>
      <c r="E161" s="43">
        <f t="shared" si="10"/>
        <v>0.17386924112957805</v>
      </c>
      <c r="F161" s="43">
        <f t="shared" si="11"/>
        <v>0.17156910051460567</v>
      </c>
    </row>
    <row r="162" spans="2:6" ht="14.4" x14ac:dyDescent="0.3">
      <c r="B162" s="36">
        <v>0.13800000000000001</v>
      </c>
      <c r="C162" s="43">
        <f t="shared" si="8"/>
        <v>9219.7113391213861</v>
      </c>
      <c r="D162" s="43">
        <f t="shared" si="9"/>
        <v>0.40857189236653535</v>
      </c>
      <c r="E162" s="43">
        <f t="shared" si="10"/>
        <v>0.17380928779528343</v>
      </c>
      <c r="F162" s="43">
        <f t="shared" si="11"/>
        <v>0.17149147456150979</v>
      </c>
    </row>
    <row r="163" spans="2:6" ht="14.4" x14ac:dyDescent="0.3">
      <c r="B163" s="36">
        <v>0.13900000000000001</v>
      </c>
      <c r="C163" s="43">
        <f t="shared" si="8"/>
        <v>9218.893668020366</v>
      </c>
      <c r="D163" s="43">
        <f t="shared" si="9"/>
        <v>0.40843363755300538</v>
      </c>
      <c r="E163" s="43">
        <f t="shared" si="10"/>
        <v>0.17374950014602875</v>
      </c>
      <c r="F163" s="43">
        <f t="shared" si="11"/>
        <v>0.17141414298532501</v>
      </c>
    </row>
    <row r="164" spans="2:6" ht="14.4" x14ac:dyDescent="0.3">
      <c r="B164" s="36">
        <v>0.14000000000000001</v>
      </c>
      <c r="C164" s="43">
        <f t="shared" si="8"/>
        <v>9218.0788834942414</v>
      </c>
      <c r="D164" s="43">
        <f t="shared" si="9"/>
        <v>0.40829590628817614</v>
      </c>
      <c r="E164" s="43">
        <f t="shared" si="10"/>
        <v>0.17368987608733263</v>
      </c>
      <c r="F164" s="43">
        <f t="shared" si="11"/>
        <v>0.17133710209411707</v>
      </c>
    </row>
    <row r="165" spans="2:6" ht="14.4" x14ac:dyDescent="0.3">
      <c r="B165" s="36">
        <v>0.14099999999999999</v>
      </c>
      <c r="C165" s="43">
        <f t="shared" si="8"/>
        <v>9217.2669495974642</v>
      </c>
      <c r="D165" s="43">
        <f t="shared" si="9"/>
        <v>0.40815869204697047</v>
      </c>
      <c r="E165" s="43">
        <f t="shared" si="10"/>
        <v>0.17363041356242617</v>
      </c>
      <c r="F165" s="43">
        <f t="shared" si="11"/>
        <v>0.17126034826558589</v>
      </c>
    </row>
    <row r="166" spans="2:6" ht="14.4" x14ac:dyDescent="0.3">
      <c r="B166" s="36">
        <v>0.14199999999999999</v>
      </c>
      <c r="C166" s="43">
        <f t="shared" si="8"/>
        <v>9216.4578310514353</v>
      </c>
      <c r="D166" s="43">
        <f t="shared" si="9"/>
        <v>0.40802198842661958</v>
      </c>
      <c r="E166" s="43">
        <f t="shared" si="10"/>
        <v>0.17357111055129756</v>
      </c>
      <c r="F166" s="43">
        <f t="shared" si="11"/>
        <v>0.17118387794525666</v>
      </c>
    </row>
    <row r="167" spans="2:6" ht="14.4" x14ac:dyDescent="0.3">
      <c r="B167" s="36">
        <v>0.14299999999999999</v>
      </c>
      <c r="C167" s="43">
        <f t="shared" si="8"/>
        <v>9215.6514932273858</v>
      </c>
      <c r="D167" s="43">
        <f t="shared" si="9"/>
        <v>0.40788578914350582</v>
      </c>
      <c r="E167" s="43">
        <f t="shared" si="10"/>
        <v>0.17351196506976696</v>
      </c>
      <c r="F167" s="43">
        <f t="shared" si="11"/>
        <v>0.17110768764473006</v>
      </c>
    </row>
    <row r="168" spans="2:6" ht="14.4" x14ac:dyDescent="0.3">
      <c r="B168" s="36">
        <v>0.14399999999999999</v>
      </c>
      <c r="C168" s="43">
        <f t="shared" si="8"/>
        <v>9214.8479021298208</v>
      </c>
      <c r="D168" s="43">
        <f t="shared" si="9"/>
        <v>0.40775008803010848</v>
      </c>
      <c r="E168" s="43">
        <f t="shared" si="10"/>
        <v>0.17345297516859109</v>
      </c>
      <c r="F168" s="43">
        <f t="shared" si="11"/>
        <v>0.17103177393998967</v>
      </c>
    </row>
    <row r="169" spans="2:6" ht="14.4" x14ac:dyDescent="0.3">
      <c r="B169" s="36">
        <v>0.14499999999999999</v>
      </c>
      <c r="C169" s="43">
        <f t="shared" si="8"/>
        <v>9214.0470243804848</v>
      </c>
      <c r="D169" s="43">
        <f t="shared" si="9"/>
        <v>0.40761487903204829</v>
      </c>
      <c r="E169" s="43">
        <f t="shared" si="10"/>
        <v>0.17339413893259592</v>
      </c>
      <c r="F169" s="43">
        <f t="shared" si="11"/>
        <v>0.17095613346976385</v>
      </c>
    </row>
    <row r="170" spans="2:6" ht="14.4" x14ac:dyDescent="0.3">
      <c r="B170" s="36">
        <v>0.14599999999999999</v>
      </c>
      <c r="C170" s="43">
        <f t="shared" si="8"/>
        <v>9213.2488272028459</v>
      </c>
      <c r="D170" s="43">
        <f t="shared" si="9"/>
        <v>0.40748015620522704</v>
      </c>
      <c r="E170" s="43">
        <f t="shared" si="10"/>
        <v>0.17333545447983692</v>
      </c>
      <c r="F170" s="43">
        <f t="shared" si="11"/>
        <v>0.17088076293394044</v>
      </c>
    </row>
    <row r="171" spans="2:6" ht="14.4" x14ac:dyDescent="0.3">
      <c r="B171" s="36">
        <v>0.14699999999999999</v>
      </c>
      <c r="C171" s="43">
        <f t="shared" si="8"/>
        <v>9212.4532784070761</v>
      </c>
      <c r="D171" s="43">
        <f t="shared" si="9"/>
        <v>0.40734591371305817</v>
      </c>
      <c r="E171" s="43">
        <f t="shared" si="10"/>
        <v>0.17327691996078518</v>
      </c>
      <c r="F171" s="43">
        <f t="shared" si="11"/>
        <v>0.17080565909203196</v>
      </c>
    </row>
    <row r="172" spans="2:6" ht="14.4" x14ac:dyDescent="0.3">
      <c r="B172" s="36">
        <v>0.14799999999999999</v>
      </c>
      <c r="C172" s="43">
        <f t="shared" si="8"/>
        <v>9211.6603463754964</v>
      </c>
      <c r="D172" s="43">
        <f t="shared" si="9"/>
        <v>0.40721214582378573</v>
      </c>
      <c r="E172" s="43">
        <f t="shared" si="10"/>
        <v>0.17321853355753894</v>
      </c>
      <c r="F172" s="43">
        <f t="shared" si="11"/>
        <v>0.17073081876168941</v>
      </c>
    </row>
    <row r="173" spans="2:6" ht="14.4" x14ac:dyDescent="0.3">
      <c r="B173" s="36">
        <v>0.14899999999999999</v>
      </c>
      <c r="C173" s="43">
        <f t="shared" si="8"/>
        <v>9210.8700000484878</v>
      </c>
      <c r="D173" s="43">
        <f t="shared" si="9"/>
        <v>0.40707884690788676</v>
      </c>
      <c r="E173" s="43">
        <f t="shared" si="10"/>
        <v>0.17316029348305945</v>
      </c>
      <c r="F173" s="43">
        <f t="shared" si="11"/>
        <v>0.17065623881726272</v>
      </c>
    </row>
    <row r="174" spans="2:6" ht="14.4" x14ac:dyDescent="0.3">
      <c r="B174" s="36">
        <v>0.15</v>
      </c>
      <c r="C174" s="43">
        <f t="shared" si="8"/>
        <v>9210.0822089108296</v>
      </c>
      <c r="D174" s="43">
        <f t="shared" si="9"/>
        <v>0.40694601143555598</v>
      </c>
      <c r="E174" s="43">
        <f t="shared" si="10"/>
        <v>0.17310219798043014</v>
      </c>
      <c r="F174" s="43">
        <f t="shared" si="11"/>
        <v>0.17058191618840646</v>
      </c>
    </row>
    <row r="175" spans="2:6" ht="14.4" x14ac:dyDescent="0.3">
      <c r="B175" s="36">
        <v>0.151</v>
      </c>
      <c r="C175" s="43">
        <f t="shared" si="8"/>
        <v>9209.2969429784716</v>
      </c>
      <c r="D175" s="43">
        <f t="shared" si="9"/>
        <v>0.40681363397426756</v>
      </c>
      <c r="E175" s="43">
        <f t="shared" si="10"/>
        <v>0.173044245322138</v>
      </c>
      <c r="F175" s="43">
        <f t="shared" si="11"/>
        <v>0.17050784785872847</v>
      </c>
    </row>
    <row r="176" spans="2:6" ht="14.4" x14ac:dyDescent="0.3">
      <c r="B176" s="36">
        <v>0.152</v>
      </c>
      <c r="C176" s="43">
        <f t="shared" si="8"/>
        <v>9208.5141727857026</v>
      </c>
      <c r="D176" s="43">
        <f t="shared" si="9"/>
        <v>0.40668170918641333</v>
      </c>
      <c r="E176" s="43">
        <f t="shared" si="10"/>
        <v>0.17298643380937728</v>
      </c>
      <c r="F176" s="43">
        <f t="shared" si="11"/>
        <v>0.17043403086448058</v>
      </c>
    </row>
    <row r="177" spans="2:6" ht="14.4" x14ac:dyDescent="0.3">
      <c r="B177" s="36">
        <v>0.153</v>
      </c>
      <c r="C177" s="43">
        <f t="shared" si="8"/>
        <v>9207.7338693727143</v>
      </c>
      <c r="D177" s="43">
        <f t="shared" si="9"/>
        <v>0.40655023182701189</v>
      </c>
      <c r="E177" s="43">
        <f t="shared" si="10"/>
        <v>0.17292876177137351</v>
      </c>
      <c r="F177" s="43">
        <f t="shared" si="11"/>
        <v>0.17036046229328908</v>
      </c>
    </row>
    <row r="178" spans="2:6" ht="14.4" x14ac:dyDescent="0.3">
      <c r="B178" s="36">
        <v>0.154</v>
      </c>
      <c r="C178" s="43">
        <f t="shared" si="8"/>
        <v>9206.9560042735447</v>
      </c>
      <c r="D178" s="43">
        <f t="shared" si="9"/>
        <v>0.40641919674148896</v>
      </c>
      <c r="E178" s="43">
        <f t="shared" si="10"/>
        <v>0.1728712275647277</v>
      </c>
      <c r="F178" s="43">
        <f t="shared" si="11"/>
        <v>0.17028713928292394</v>
      </c>
    </row>
    <row r="179" spans="2:6" ht="14.4" x14ac:dyDescent="0.3">
      <c r="B179" s="36">
        <v>0.155</v>
      </c>
      <c r="C179" s="43">
        <f t="shared" si="8"/>
        <v>9206.1805495043827</v>
      </c>
      <c r="D179" s="43">
        <f t="shared" si="9"/>
        <v>0.40628859886352375</v>
      </c>
      <c r="E179" s="43">
        <f t="shared" si="10"/>
        <v>0.17281382957278033</v>
      </c>
      <c r="F179" s="43">
        <f t="shared" si="11"/>
        <v>0.17021405902010533</v>
      </c>
    </row>
    <row r="180" spans="2:6" ht="14.4" x14ac:dyDescent="0.3">
      <c r="B180" s="36">
        <v>0.156</v>
      </c>
      <c r="C180" s="43">
        <f t="shared" si="8"/>
        <v>9205.4074775522167</v>
      </c>
      <c r="D180" s="43">
        <f t="shared" si="9"/>
        <v>0.40615843321296052</v>
      </c>
      <c r="E180" s="43">
        <f t="shared" si="10"/>
        <v>0.17275656620499358</v>
      </c>
      <c r="F180" s="43">
        <f t="shared" si="11"/>
        <v>0.1701412187393459</v>
      </c>
    </row>
    <row r="181" spans="2:6" ht="14.4" x14ac:dyDescent="0.3">
      <c r="B181" s="36">
        <v>0.157</v>
      </c>
      <c r="C181" s="43">
        <f t="shared" si="8"/>
        <v>9204.6367613638267</v>
      </c>
      <c r="D181" s="43">
        <f t="shared" si="9"/>
        <v>0.40602869489378279</v>
      </c>
      <c r="E181" s="43">
        <f t="shared" si="10"/>
        <v>0.17269943589635184</v>
      </c>
      <c r="F181" s="43">
        <f t="shared" si="11"/>
        <v>0.17006861572182769</v>
      </c>
    </row>
    <row r="182" spans="2:6" ht="14.4" x14ac:dyDescent="0.3">
      <c r="B182" s="36">
        <v>0.158</v>
      </c>
      <c r="C182" s="43">
        <f t="shared" si="8"/>
        <v>9203.8683743351066</v>
      </c>
      <c r="D182" s="43">
        <f t="shared" si="9"/>
        <v>0.40589937909214696</v>
      </c>
      <c r="E182" s="43">
        <f t="shared" si="10"/>
        <v>0.17264243710677968</v>
      </c>
      <c r="F182" s="43">
        <f t="shared" si="11"/>
        <v>0.16999624729431215</v>
      </c>
    </row>
    <row r="183" spans="2:6" ht="14.4" x14ac:dyDescent="0.3">
      <c r="B183" s="36">
        <v>0.159</v>
      </c>
      <c r="C183" s="43">
        <f t="shared" si="8"/>
        <v>9203.1022903006833</v>
      </c>
      <c r="D183" s="43">
        <f t="shared" si="9"/>
        <v>0.40577048107447466</v>
      </c>
      <c r="E183" s="43">
        <f t="shared" si="10"/>
        <v>0.17258556832057631</v>
      </c>
      <c r="F183" s="43">
        <f t="shared" si="11"/>
        <v>0.16992411082808268</v>
      </c>
    </row>
    <row r="184" spans="2:6" ht="14.4" x14ac:dyDescent="0.3">
      <c r="B184" s="36">
        <v>0.16</v>
      </c>
      <c r="C184" s="43">
        <f t="shared" si="8"/>
        <v>9202.3384835238539</v>
      </c>
      <c r="D184" s="43">
        <f t="shared" si="9"/>
        <v>0.40564199618560026</v>
      </c>
      <c r="E184" s="43">
        <f t="shared" si="10"/>
        <v>0.1725288280458665</v>
      </c>
      <c r="F184" s="43">
        <f t="shared" si="11"/>
        <v>0.16985220373791762</v>
      </c>
    </row>
    <row r="185" spans="2:6" ht="14.4" x14ac:dyDescent="0.3">
      <c r="B185" s="36">
        <v>0.161</v>
      </c>
      <c r="C185" s="43">
        <f t="shared" si="8"/>
        <v>9201.5769286868126</v>
      </c>
      <c r="D185" s="43">
        <f t="shared" si="9"/>
        <v>0.40551391984697305</v>
      </c>
      <c r="E185" s="43">
        <f t="shared" si="10"/>
        <v>0.17247221481406713</v>
      </c>
      <c r="F185" s="43">
        <f t="shared" si="11"/>
        <v>0.1697805234810936</v>
      </c>
    </row>
    <row r="186" spans="2:6" ht="14.4" x14ac:dyDescent="0.3">
      <c r="B186" s="36">
        <v>0.16200000000000001</v>
      </c>
      <c r="C186" s="43">
        <f t="shared" si="8"/>
        <v>9200.8176008811442</v>
      </c>
      <c r="D186" s="43">
        <f t="shared" si="9"/>
        <v>0.40538624755491087</v>
      </c>
      <c r="E186" s="43">
        <f t="shared" si="10"/>
        <v>0.17241572717936865</v>
      </c>
      <c r="F186" s="43">
        <f t="shared" si="11"/>
        <v>0.1697090675564174</v>
      </c>
    </row>
    <row r="187" spans="2:6" ht="14.4" x14ac:dyDescent="0.3">
      <c r="B187" s="36">
        <v>0.16300000000000001</v>
      </c>
      <c r="C187" s="43">
        <f t="shared" si="8"/>
        <v>9200.0604755986133</v>
      </c>
      <c r="D187" s="43">
        <f t="shared" si="9"/>
        <v>0.40525897487890422</v>
      </c>
      <c r="E187" s="43">
        <f t="shared" si="10"/>
        <v>0.1723593637182313</v>
      </c>
      <c r="F187" s="43">
        <f t="shared" si="11"/>
        <v>0.16963783350328579</v>
      </c>
    </row>
    <row r="188" spans="2:6" ht="14.4" x14ac:dyDescent="0.3">
      <c r="B188" s="36">
        <v>0.16400000000000001</v>
      </c>
      <c r="C188" s="43">
        <f t="shared" si="8"/>
        <v>9199.305528722196</v>
      </c>
      <c r="D188" s="43">
        <f t="shared" si="9"/>
        <v>0.40513209745996881</v>
      </c>
      <c r="E188" s="43">
        <f t="shared" si="10"/>
        <v>0.17230312302889531</v>
      </c>
      <c r="F188" s="43">
        <f t="shared" si="11"/>
        <v>0.1695668189007721</v>
      </c>
    </row>
    <row r="189" spans="2:6" ht="14.4" x14ac:dyDescent="0.3">
      <c r="B189" s="36">
        <v>0.16500000000000001</v>
      </c>
      <c r="C189" s="43">
        <f t="shared" si="8"/>
        <v>9198.552736517373</v>
      </c>
      <c r="D189" s="43">
        <f t="shared" si="9"/>
        <v>0.40500561100904475</v>
      </c>
      <c r="E189" s="43">
        <f t="shared" si="10"/>
        <v>0.17224700373090468</v>
      </c>
      <c r="F189" s="43">
        <f t="shared" si="11"/>
        <v>0.16949602136673894</v>
      </c>
    </row>
    <row r="190" spans="2:6" ht="14.4" x14ac:dyDescent="0.3">
      <c r="B190" s="36">
        <v>0.16600000000000001</v>
      </c>
      <c r="C190" s="43">
        <f t="shared" si="8"/>
        <v>9197.8020756236656</v>
      </c>
      <c r="D190" s="43">
        <f t="shared" si="9"/>
        <v>0.40487951130544136</v>
      </c>
      <c r="E190" s="43">
        <f t="shared" si="10"/>
        <v>0.1721910044646443</v>
      </c>
      <c r="F190" s="43">
        <f t="shared" si="11"/>
        <v>0.16942543855697573</v>
      </c>
    </row>
    <row r="191" spans="2:6" ht="14.4" x14ac:dyDescent="0.3">
      <c r="B191" s="36">
        <v>0.16700000000000001</v>
      </c>
      <c r="C191" s="43">
        <f t="shared" si="8"/>
        <v>9197.053523046412</v>
      </c>
      <c r="D191" s="43">
        <f t="shared" si="9"/>
        <v>0.40475379419532503</v>
      </c>
      <c r="E191" s="43">
        <f t="shared" si="10"/>
        <v>0.17213512389088942</v>
      </c>
      <c r="F191" s="43">
        <f t="shared" si="11"/>
        <v>0.16935506816436047</v>
      </c>
    </row>
    <row r="192" spans="2:6" ht="14.4" x14ac:dyDescent="0.3">
      <c r="B192" s="36">
        <v>0.16800000000000001</v>
      </c>
      <c r="C192" s="43">
        <f t="shared" si="8"/>
        <v>9196.3070561487657</v>
      </c>
      <c r="D192" s="43">
        <f t="shared" si="9"/>
        <v>0.40462845559024974</v>
      </c>
      <c r="E192" s="43">
        <f t="shared" si="10"/>
        <v>0.17207936069036789</v>
      </c>
      <c r="F192" s="43">
        <f t="shared" si="11"/>
        <v>0.16928490791804501</v>
      </c>
    </row>
    <row r="193" spans="2:6" ht="14.4" x14ac:dyDescent="0.3">
      <c r="B193" s="36">
        <v>0.16900000000000001</v>
      </c>
      <c r="C193" s="43">
        <f t="shared" si="8"/>
        <v>9195.5626526439191</v>
      </c>
      <c r="D193" s="43">
        <f t="shared" si="9"/>
        <v>0.404503491465728</v>
      </c>
      <c r="E193" s="43">
        <f t="shared" si="10"/>
        <v>0.17202371356333362</v>
      </c>
      <c r="F193" s="43">
        <f t="shared" si="11"/>
        <v>0.16921495558266281</v>
      </c>
    </row>
    <row r="194" spans="2:6" ht="14.4" x14ac:dyDescent="0.3">
      <c r="B194" s="36">
        <v>0.17</v>
      </c>
      <c r="C194" s="43">
        <f t="shared" si="8"/>
        <v>9194.8202905875369</v>
      </c>
      <c r="D194" s="43">
        <f t="shared" si="9"/>
        <v>0.40437889785984155</v>
      </c>
      <c r="E194" s="43">
        <f t="shared" si="10"/>
        <v>0.17196818122915236</v>
      </c>
      <c r="F194" s="43">
        <f t="shared" si="11"/>
        <v>0.16914520895755836</v>
      </c>
    </row>
    <row r="195" spans="2:6" ht="14.4" x14ac:dyDescent="0.3">
      <c r="B195" s="36">
        <v>0.17100000000000001</v>
      </c>
      <c r="C195" s="43">
        <f t="shared" si="8"/>
        <v>9194.0799483703995</v>
      </c>
      <c r="D195" s="43">
        <f t="shared" si="9"/>
        <v>0.4042546708718896</v>
      </c>
      <c r="E195" s="43">
        <f t="shared" si="10"/>
        <v>0.17191276242589773</v>
      </c>
      <c r="F195" s="43">
        <f t="shared" si="11"/>
        <v>0.16907566587603809</v>
      </c>
    </row>
    <row r="196" spans="2:6" ht="14.4" x14ac:dyDescent="0.3">
      <c r="B196" s="36">
        <v>0.17199999999999999</v>
      </c>
      <c r="C196" s="43">
        <f t="shared" si="8"/>
        <v>9193.3416047112441</v>
      </c>
      <c r="D196" s="43">
        <f t="shared" si="9"/>
        <v>0.40413080666107459</v>
      </c>
      <c r="E196" s="43">
        <f t="shared" si="10"/>
        <v>0.17185745590995857</v>
      </c>
      <c r="F196" s="43">
        <f t="shared" si="11"/>
        <v>0.16900632420464134</v>
      </c>
    </row>
    <row r="197" spans="2:6" ht="14.4" x14ac:dyDescent="0.3">
      <c r="B197" s="36">
        <v>0.17299999999999999</v>
      </c>
      <c r="C197" s="43">
        <f t="shared" si="8"/>
        <v>9192.6052386497977</v>
      </c>
      <c r="D197" s="43">
        <f t="shared" si="9"/>
        <v>0.40400730144522273</v>
      </c>
      <c r="E197" s="43">
        <f t="shared" si="10"/>
        <v>0.17180226045565655</v>
      </c>
      <c r="F197" s="43">
        <f t="shared" si="11"/>
        <v>0.16893718184243109</v>
      </c>
    </row>
    <row r="198" spans="2:6" ht="14.4" x14ac:dyDescent="0.3">
      <c r="B198" s="36">
        <v>0.17399999999999999</v>
      </c>
      <c r="C198" s="43">
        <f t="shared" si="8"/>
        <v>9191.8708295400011</v>
      </c>
      <c r="D198" s="43">
        <f t="shared" si="9"/>
        <v>0.40388415149953966</v>
      </c>
      <c r="E198" s="43">
        <f t="shared" si="10"/>
        <v>0.17174717485487367</v>
      </c>
      <c r="F198" s="43">
        <f t="shared" si="11"/>
        <v>0.16886823672030407</v>
      </c>
    </row>
    <row r="199" spans="2:6" ht="14.4" x14ac:dyDescent="0.3">
      <c r="B199" s="36">
        <v>0.17499999999999999</v>
      </c>
      <c r="C199" s="43">
        <f t="shared" si="8"/>
        <v>9191.1383570434045</v>
      </c>
      <c r="D199" s="43">
        <f t="shared" si="9"/>
        <v>0.40376135315539913</v>
      </c>
      <c r="E199" s="43">
        <f t="shared" si="10"/>
        <v>0.17169219791668988</v>
      </c>
      <c r="F199" s="43">
        <f t="shared" si="11"/>
        <v>0.16879948680031892</v>
      </c>
    </row>
    <row r="200" spans="2:6" ht="14.4" x14ac:dyDescent="0.3">
      <c r="B200" s="36">
        <v>0.17599999999999999</v>
      </c>
      <c r="C200" s="43">
        <f t="shared" si="8"/>
        <v>9190.4078011227466</v>
      </c>
      <c r="D200" s="43">
        <f t="shared" si="9"/>
        <v>0.40363890279916392</v>
      </c>
      <c r="E200" s="43">
        <f t="shared" si="10"/>
        <v>0.17163732846702964</v>
      </c>
      <c r="F200" s="43">
        <f t="shared" si="11"/>
        <v>0.16873093007504256</v>
      </c>
    </row>
    <row r="201" spans="2:6" ht="14.4" x14ac:dyDescent="0.3">
      <c r="B201" s="36">
        <v>0.17699999999999999</v>
      </c>
      <c r="C201" s="43">
        <f t="shared" si="8"/>
        <v>9189.6791420357004</v>
      </c>
      <c r="D201" s="43">
        <f t="shared" si="9"/>
        <v>0.40351679687103803</v>
      </c>
      <c r="E201" s="43">
        <f t="shared" si="10"/>
        <v>0.17158256534831801</v>
      </c>
      <c r="F201" s="43">
        <f t="shared" si="11"/>
        <v>0.16866256456691359</v>
      </c>
    </row>
    <row r="202" spans="2:6" ht="14.4" x14ac:dyDescent="0.3">
      <c r="B202" s="36">
        <v>0.17799999999999999</v>
      </c>
      <c r="C202" s="43">
        <f t="shared" si="8"/>
        <v>9188.9523603287798</v>
      </c>
      <c r="D202" s="43">
        <f t="shared" si="9"/>
        <v>0.40339503186394909</v>
      </c>
      <c r="E202" s="43">
        <f t="shared" si="10"/>
        <v>0.17152790741914553</v>
      </c>
      <c r="F202" s="43">
        <f t="shared" si="11"/>
        <v>0.16859438832762269</v>
      </c>
    </row>
    <row r="203" spans="2:6" ht="14.4" x14ac:dyDescent="0.3">
      <c r="B203" s="36">
        <v>0.17899999999999999</v>
      </c>
      <c r="C203" s="43">
        <f t="shared" si="8"/>
        <v>9188.227436831412</v>
      </c>
      <c r="D203" s="43">
        <f t="shared" si="9"/>
        <v>0.40327360432245973</v>
      </c>
      <c r="E203" s="43">
        <f t="shared" si="10"/>
        <v>0.17147335355394139</v>
      </c>
      <c r="F203" s="43">
        <f t="shared" si="11"/>
        <v>0.16852639943750891</v>
      </c>
    </row>
    <row r="204" spans="2:6" ht="14.4" x14ac:dyDescent="0.3">
      <c r="B204" s="36">
        <v>0.18</v>
      </c>
      <c r="C204" s="43">
        <f t="shared" si="8"/>
        <v>9187.5043526501486</v>
      </c>
      <c r="D204" s="43">
        <f t="shared" si="9"/>
        <v>0.40315251084170806</v>
      </c>
      <c r="E204" s="43">
        <f t="shared" si="10"/>
        <v>0.17141890264265536</v>
      </c>
      <c r="F204" s="43">
        <f t="shared" si="11"/>
        <v>0.16845859600497209</v>
      </c>
    </row>
    <row r="205" spans="2:6" ht="14.4" x14ac:dyDescent="0.3">
      <c r="B205" s="36">
        <v>0.18099999999999999</v>
      </c>
      <c r="C205" s="43">
        <f t="shared" si="8"/>
        <v>9186.7830891630492</v>
      </c>
      <c r="D205" s="43">
        <f t="shared" si="9"/>
        <v>0.40303174806637421</v>
      </c>
      <c r="E205" s="43">
        <f t="shared" si="10"/>
        <v>0.17136455359044728</v>
      </c>
      <c r="F205" s="43">
        <f t="shared" si="11"/>
        <v>0.16839097616589993</v>
      </c>
    </row>
    <row r="206" spans="2:6" ht="14.4" x14ac:dyDescent="0.3">
      <c r="B206" s="36">
        <v>0.182</v>
      </c>
      <c r="C206" s="43">
        <f t="shared" si="8"/>
        <v>9186.0636280141825</v>
      </c>
      <c r="D206" s="43">
        <f t="shared" si="9"/>
        <v>0.40291131268967506</v>
      </c>
      <c r="E206" s="43">
        <f t="shared" si="10"/>
        <v>0.17131030531738484</v>
      </c>
      <c r="F206" s="43">
        <f t="shared" si="11"/>
        <v>0.16832353808311037</v>
      </c>
    </row>
    <row r="207" spans="2:6" ht="14.4" x14ac:dyDescent="0.3">
      <c r="B207" s="36">
        <v>0.183</v>
      </c>
      <c r="C207" s="43">
        <f t="shared" si="8"/>
        <v>9185.3459511082892</v>
      </c>
      <c r="D207" s="43">
        <f t="shared" si="9"/>
        <v>0.40279120145238356</v>
      </c>
      <c r="E207" s="43">
        <f t="shared" si="10"/>
        <v>0.17125615675814843</v>
      </c>
      <c r="F207" s="43">
        <f t="shared" si="11"/>
        <v>0.16825627994580766</v>
      </c>
    </row>
    <row r="208" spans="2:6" ht="14.4" x14ac:dyDescent="0.3">
      <c r="B208" s="36">
        <v>0.184</v>
      </c>
      <c r="C208" s="43">
        <f t="shared" si="8"/>
        <v>9184.6300406055634</v>
      </c>
      <c r="D208" s="43">
        <f t="shared" si="9"/>
        <v>0.40267141114187321</v>
      </c>
      <c r="E208" s="43">
        <f t="shared" si="10"/>
        <v>0.17120210686174389</v>
      </c>
      <c r="F208" s="43">
        <f t="shared" si="11"/>
        <v>0.16818919996905282</v>
      </c>
    </row>
    <row r="209" spans="2:6" ht="14.4" x14ac:dyDescent="0.3">
      <c r="B209" s="36">
        <v>0.185</v>
      </c>
      <c r="C209" s="43">
        <f t="shared" si="8"/>
        <v>9183.9158789165831</v>
      </c>
      <c r="D209" s="43">
        <f t="shared" si="9"/>
        <v>0.40255193859118704</v>
      </c>
      <c r="E209" s="43">
        <f t="shared" si="10"/>
        <v>0.17114815459122174</v>
      </c>
      <c r="F209" s="43">
        <f t="shared" si="11"/>
        <v>0.16812229639324708</v>
      </c>
    </row>
    <row r="210" spans="2:6" ht="14.4" x14ac:dyDescent="0.3">
      <c r="B210" s="36">
        <v>0.186</v>
      </c>
      <c r="C210" s="43">
        <f t="shared" si="8"/>
        <v>9183.2034486973444</v>
      </c>
      <c r="D210" s="43">
        <f t="shared" si="9"/>
        <v>0.40243278067813004</v>
      </c>
      <c r="E210" s="43">
        <f t="shared" si="10"/>
        <v>0.1710942989234038</v>
      </c>
      <c r="F210" s="43">
        <f t="shared" si="11"/>
        <v>0.16805556748362854</v>
      </c>
    </row>
    <row r="211" spans="2:6" ht="14.4" x14ac:dyDescent="0.3">
      <c r="B211" s="36">
        <v>0.187</v>
      </c>
      <c r="C211" s="43">
        <f t="shared" si="8"/>
        <v>9182.4927328444428</v>
      </c>
      <c r="D211" s="43">
        <f t="shared" si="9"/>
        <v>0.40231393432438373</v>
      </c>
      <c r="E211" s="43">
        <f t="shared" si="10"/>
        <v>0.17104053884861631</v>
      </c>
      <c r="F211" s="43">
        <f t="shared" si="11"/>
        <v>0.16798901152978124</v>
      </c>
    </row>
    <row r="212" spans="2:6" ht="14.4" x14ac:dyDescent="0.3">
      <c r="B212" s="36">
        <v>0.188</v>
      </c>
      <c r="C212" s="43">
        <f t="shared" si="8"/>
        <v>9181.7837144903624</v>
      </c>
      <c r="D212" s="43">
        <f t="shared" si="9"/>
        <v>0.40219539649464348</v>
      </c>
      <c r="E212" s="43">
        <f t="shared" si="10"/>
        <v>0.17098687337042959</v>
      </c>
      <c r="F212" s="43">
        <f t="shared" si="11"/>
        <v>0.16792262684515669</v>
      </c>
    </row>
    <row r="213" spans="2:6" ht="14.4" x14ac:dyDescent="0.3">
      <c r="B213" s="36">
        <v>0.189</v>
      </c>
      <c r="C213" s="43">
        <f t="shared" si="8"/>
        <v>9181.0763769988771</v>
      </c>
      <c r="D213" s="43">
        <f t="shared" si="9"/>
        <v>0.40207716419577672</v>
      </c>
      <c r="E213" s="43">
        <f t="shared" si="10"/>
        <v>0.17093330150540384</v>
      </c>
      <c r="F213" s="43">
        <f t="shared" si="11"/>
        <v>0.16785641176660704</v>
      </c>
    </row>
    <row r="214" spans="2:6" ht="14.4" x14ac:dyDescent="0.3">
      <c r="B214" s="36">
        <v>0.19</v>
      </c>
      <c r="C214" s="43">
        <f t="shared" si="8"/>
        <v>9180.3707039605724</v>
      </c>
      <c r="D214" s="43">
        <f t="shared" si="9"/>
        <v>0.40195923447600224</v>
      </c>
      <c r="E214" s="43">
        <f t="shared" si="10"/>
        <v>0.17087982228284135</v>
      </c>
      <c r="F214" s="43">
        <f t="shared" si="11"/>
        <v>0.16779036465392982</v>
      </c>
    </row>
    <row r="215" spans="2:6" ht="14.4" x14ac:dyDescent="0.3">
      <c r="B215" s="36">
        <v>0.191</v>
      </c>
      <c r="C215" s="43">
        <f t="shared" si="8"/>
        <v>9179.6666791884782</v>
      </c>
      <c r="D215" s="43">
        <f t="shared" si="9"/>
        <v>0.40184160442408923</v>
      </c>
      <c r="E215" s="43">
        <f t="shared" si="10"/>
        <v>0.17082643474454445</v>
      </c>
      <c r="F215" s="43">
        <f t="shared" si="11"/>
        <v>0.16772448388942393</v>
      </c>
    </row>
    <row r="216" spans="2:6" ht="14.4" x14ac:dyDescent="0.3">
      <c r="B216" s="36">
        <v>0.192</v>
      </c>
      <c r="C216" s="43">
        <f t="shared" si="8"/>
        <v>9178.9642867137973</v>
      </c>
      <c r="D216" s="43">
        <f t="shared" si="9"/>
        <v>0.40172427116857623</v>
      </c>
      <c r="E216" s="43">
        <f t="shared" si="10"/>
        <v>0.17077313794457916</v>
      </c>
      <c r="F216" s="43">
        <f t="shared" si="11"/>
        <v>0.16765876787745618</v>
      </c>
    </row>
    <row r="217" spans="2:6" ht="14.4" x14ac:dyDescent="0.3">
      <c r="B217" s="36">
        <v>0.193</v>
      </c>
      <c r="C217" s="43">
        <f t="shared" ref="C217:C280" si="12">_xlfn.BETA.INV((1-B217),$C$7,$C$8)*($C$5-$C$3)+$C$3</f>
        <v>9178.2635107817441</v>
      </c>
      <c r="D217" s="43">
        <f t="shared" ref="D217:D280" si="13">_xlfn.BETA.INV((1-B217),$D$7,$D$8)*($D$5-$D$3)+$D$3</f>
        <v>0.40160723187700859</v>
      </c>
      <c r="E217" s="43">
        <f t="shared" ref="E217:E280" si="14">_xlfn.BETA.INV((1-B217),$E$7,$E$8)*($E$5-$E$3)+$E$3</f>
        <v>0.17071993094904464</v>
      </c>
      <c r="F217" s="43">
        <f t="shared" ref="F217:F280" si="15">_xlfn.BETA.INV((1-B217),$F$7,$F$8)*($F$5-$F$3)+$F$3</f>
        <v>0.1675932150440386</v>
      </c>
    </row>
    <row r="218" spans="2:6" ht="14.4" x14ac:dyDescent="0.3">
      <c r="B218" s="36">
        <v>0.19400000000000001</v>
      </c>
      <c r="C218" s="43">
        <f t="shared" si="12"/>
        <v>9177.5643358474845</v>
      </c>
      <c r="D218" s="43">
        <f t="shared" si="13"/>
        <v>0.40149048375519492</v>
      </c>
      <c r="E218" s="43">
        <f t="shared" si="14"/>
        <v>0.17066681283584795</v>
      </c>
      <c r="F218" s="43">
        <f t="shared" si="15"/>
        <v>0.16752782383641593</v>
      </c>
    </row>
    <row r="219" spans="2:6" ht="14.4" x14ac:dyDescent="0.3">
      <c r="B219" s="36">
        <v>0.19500000000000001</v>
      </c>
      <c r="C219" s="43">
        <f t="shared" si="12"/>
        <v>9176.8667465721664</v>
      </c>
      <c r="D219" s="43">
        <f t="shared" si="13"/>
        <v>0.40137402404648059</v>
      </c>
      <c r="E219" s="43">
        <f t="shared" si="14"/>
        <v>0.17061378269448407</v>
      </c>
      <c r="F219" s="43">
        <f t="shared" si="15"/>
        <v>0.16746259272266273</v>
      </c>
    </row>
    <row r="220" spans="2:6" ht="14.4" x14ac:dyDescent="0.3">
      <c r="B220" s="36">
        <v>0.19600000000000001</v>
      </c>
      <c r="C220" s="43">
        <f t="shared" si="12"/>
        <v>9176.1707278190534</v>
      </c>
      <c r="D220" s="43">
        <f t="shared" si="13"/>
        <v>0.40125785003103964</v>
      </c>
      <c r="E220" s="43">
        <f t="shared" si="14"/>
        <v>0.17056083962582119</v>
      </c>
      <c r="F220" s="43">
        <f t="shared" si="15"/>
        <v>0.16739752019129048</v>
      </c>
    </row>
    <row r="221" spans="2:6" ht="14.4" x14ac:dyDescent="0.3">
      <c r="B221" s="36">
        <v>0.19700000000000001</v>
      </c>
      <c r="C221" s="43">
        <f t="shared" si="12"/>
        <v>9175.4762646497365</v>
      </c>
      <c r="D221" s="43">
        <f t="shared" si="13"/>
        <v>0.40114195902518207</v>
      </c>
      <c r="E221" s="43">
        <f t="shared" si="14"/>
        <v>0.17050798274189072</v>
      </c>
      <c r="F221" s="43">
        <f t="shared" si="15"/>
        <v>0.1673326047508637</v>
      </c>
    </row>
    <row r="222" spans="2:6" ht="14.4" x14ac:dyDescent="0.3">
      <c r="B222" s="36">
        <v>0.19800000000000001</v>
      </c>
      <c r="C222" s="43">
        <f t="shared" si="12"/>
        <v>9174.7833423204538</v>
      </c>
      <c r="D222" s="43">
        <f t="shared" si="13"/>
        <v>0.40102634838067908</v>
      </c>
      <c r="E222" s="43">
        <f t="shared" si="14"/>
        <v>0.17045521116568252</v>
      </c>
      <c r="F222" s="43">
        <f t="shared" si="15"/>
        <v>0.16726784492962532</v>
      </c>
    </row>
    <row r="223" spans="2:6" ht="14.4" x14ac:dyDescent="0.3">
      <c r="B223" s="36">
        <v>0.19900000000000001</v>
      </c>
      <c r="C223" s="43">
        <f t="shared" si="12"/>
        <v>9174.0919462784768</v>
      </c>
      <c r="D223" s="43">
        <f t="shared" si="13"/>
        <v>0.40091101548410296</v>
      </c>
      <c r="E223" s="43">
        <f t="shared" si="14"/>
        <v>0.17040252403094433</v>
      </c>
      <c r="F223" s="43">
        <f t="shared" si="15"/>
        <v>0.16720323927513078</v>
      </c>
    </row>
    <row r="224" spans="2:6" ht="14.4" x14ac:dyDescent="0.3">
      <c r="B224" s="36">
        <v>0.2</v>
      </c>
      <c r="C224" s="43">
        <f t="shared" si="12"/>
        <v>9173.4020621585896</v>
      </c>
      <c r="D224" s="43">
        <f t="shared" si="13"/>
        <v>0.4007959577561831</v>
      </c>
      <c r="E224" s="43">
        <f t="shared" si="14"/>
        <v>0.17034992048198638</v>
      </c>
      <c r="F224" s="43">
        <f t="shared" si="15"/>
        <v>0.16713878635389068</v>
      </c>
    </row>
    <row r="225" spans="2:6" ht="14.4" x14ac:dyDescent="0.3">
      <c r="B225" s="36">
        <v>0.20100000000000001</v>
      </c>
      <c r="C225" s="43">
        <f t="shared" si="12"/>
        <v>9172.7136757796561</v>
      </c>
      <c r="D225" s="43">
        <f t="shared" si="13"/>
        <v>0.40068117265117653</v>
      </c>
      <c r="E225" s="43">
        <f t="shared" si="14"/>
        <v>0.17029739967348997</v>
      </c>
      <c r="F225" s="43">
        <f t="shared" si="15"/>
        <v>0.16707448475102171</v>
      </c>
    </row>
    <row r="226" spans="2:6" ht="14.4" x14ac:dyDescent="0.3">
      <c r="B226" s="36">
        <v>0.20200000000000001</v>
      </c>
      <c r="C226" s="43">
        <f t="shared" si="12"/>
        <v>9172.026773141255</v>
      </c>
      <c r="D226" s="43">
        <f t="shared" si="13"/>
        <v>0.40056665765625349</v>
      </c>
      <c r="E226" s="43">
        <f t="shared" si="14"/>
        <v>0.17024496077032053</v>
      </c>
      <c r="F226" s="43">
        <f t="shared" si="15"/>
        <v>0.16701033306990595</v>
      </c>
    </row>
    <row r="227" spans="2:6" ht="14.4" x14ac:dyDescent="0.3">
      <c r="B227" s="36">
        <v>0.20300000000000001</v>
      </c>
      <c r="C227" s="43">
        <f t="shared" si="12"/>
        <v>9171.3413404203966</v>
      </c>
      <c r="D227" s="43">
        <f t="shared" si="13"/>
        <v>0.40045241029089679</v>
      </c>
      <c r="E227" s="43">
        <f t="shared" si="14"/>
        <v>0.17019260294734492</v>
      </c>
      <c r="F227" s="43">
        <f t="shared" si="15"/>
        <v>0.16694632993185737</v>
      </c>
    </row>
    <row r="228" spans="2:6" ht="14.4" x14ac:dyDescent="0.3">
      <c r="B228" s="36">
        <v>0.20399999999999999</v>
      </c>
      <c r="C228" s="43">
        <f t="shared" si="12"/>
        <v>9170.6573639683174</v>
      </c>
      <c r="D228" s="43">
        <f t="shared" si="13"/>
        <v>0.40033842810631531</v>
      </c>
      <c r="E228" s="43">
        <f t="shared" si="14"/>
        <v>0.17014032538925283</v>
      </c>
      <c r="F228" s="43">
        <f t="shared" si="15"/>
        <v>0.16688247397579678</v>
      </c>
    </row>
    <row r="229" spans="2:6" ht="14.4" x14ac:dyDescent="0.3">
      <c r="B229" s="36">
        <v>0.20499999999999999</v>
      </c>
      <c r="C229" s="43">
        <f t="shared" si="12"/>
        <v>9169.9748303073393</v>
      </c>
      <c r="D229" s="43">
        <f t="shared" si="13"/>
        <v>0.40022470868487031</v>
      </c>
      <c r="E229" s="43">
        <f t="shared" si="14"/>
        <v>0.17008812729038209</v>
      </c>
      <c r="F229" s="43">
        <f t="shared" si="15"/>
        <v>0.16681876385793348</v>
      </c>
    </row>
    <row r="230" spans="2:6" ht="14.4" x14ac:dyDescent="0.3">
      <c r="B230" s="36">
        <v>0.20599999999999999</v>
      </c>
      <c r="C230" s="43">
        <f t="shared" si="12"/>
        <v>9169.293726127813</v>
      </c>
      <c r="D230" s="43">
        <f t="shared" si="13"/>
        <v>0.40011124963951544</v>
      </c>
      <c r="E230" s="43">
        <f t="shared" si="14"/>
        <v>0.17003600785454775</v>
      </c>
      <c r="F230" s="43">
        <f t="shared" si="15"/>
        <v>0.16675519825145463</v>
      </c>
    </row>
    <row r="231" spans="2:6" ht="14.4" x14ac:dyDescent="0.3">
      <c r="B231" s="36">
        <v>0.20699999999999999</v>
      </c>
      <c r="C231" s="43">
        <f t="shared" si="12"/>
        <v>9168.6140382851117</v>
      </c>
      <c r="D231" s="43">
        <f t="shared" si="13"/>
        <v>0.39999804861324872</v>
      </c>
      <c r="E231" s="43">
        <f t="shared" si="14"/>
        <v>0.16998396629487539</v>
      </c>
      <c r="F231" s="43">
        <f t="shared" si="15"/>
        <v>0.16669177584622141</v>
      </c>
    </row>
    <row r="232" spans="2:6" ht="14.4" x14ac:dyDescent="0.3">
      <c r="B232" s="36">
        <v>0.20799999999999999</v>
      </c>
      <c r="C232" s="43">
        <f t="shared" si="12"/>
        <v>9167.9357537967117</v>
      </c>
      <c r="D232" s="43">
        <f t="shared" si="13"/>
        <v>0.39988510327857762</v>
      </c>
      <c r="E232" s="43">
        <f t="shared" si="14"/>
        <v>0.16993200183363744</v>
      </c>
      <c r="F232" s="43">
        <f t="shared" si="15"/>
        <v>0.16662849534847196</v>
      </c>
    </row>
    <row r="233" spans="2:6" ht="14.4" x14ac:dyDescent="0.3">
      <c r="B233" s="36">
        <v>0.20899999999999999</v>
      </c>
      <c r="C233" s="43">
        <f t="shared" si="12"/>
        <v>9167.2588598393231</v>
      </c>
      <c r="D233" s="43">
        <f t="shared" si="13"/>
        <v>0.39977241133699537</v>
      </c>
      <c r="E233" s="43">
        <f t="shared" si="14"/>
        <v>0.16988011370209349</v>
      </c>
      <c r="F233" s="43">
        <f t="shared" si="15"/>
        <v>0.16656535548053111</v>
      </c>
    </row>
    <row r="234" spans="2:6" ht="14.4" x14ac:dyDescent="0.3">
      <c r="B234" s="36">
        <v>0.21</v>
      </c>
      <c r="C234" s="43">
        <f t="shared" si="12"/>
        <v>9166.5833437460951</v>
      </c>
      <c r="D234" s="43">
        <f t="shared" si="13"/>
        <v>0.39965997051846924</v>
      </c>
      <c r="E234" s="43">
        <f t="shared" si="14"/>
        <v>0.16982830114033404</v>
      </c>
      <c r="F234" s="43">
        <f t="shared" si="15"/>
        <v>0.16650235498052646</v>
      </c>
    </row>
    <row r="235" spans="2:6" ht="14.4" x14ac:dyDescent="0.3">
      <c r="B235" s="36">
        <v>0.21099999999999999</v>
      </c>
      <c r="C235" s="43">
        <f t="shared" si="12"/>
        <v>9165.9091930038685</v>
      </c>
      <c r="D235" s="43">
        <f t="shared" si="13"/>
        <v>0.39954777858094043</v>
      </c>
      <c r="E235" s="43">
        <f t="shared" si="14"/>
        <v>0.16977656339712743</v>
      </c>
      <c r="F235" s="43">
        <f t="shared" si="15"/>
        <v>0.16643949260211091</v>
      </c>
    </row>
    <row r="236" spans="2:6" ht="14.4" x14ac:dyDescent="0.3">
      <c r="B236" s="36">
        <v>0.21199999999999999</v>
      </c>
      <c r="C236" s="43">
        <f t="shared" si="12"/>
        <v>9165.2363952505075</v>
      </c>
      <c r="D236" s="43">
        <f t="shared" si="13"/>
        <v>0.39943583330983423</v>
      </c>
      <c r="E236" s="43">
        <f t="shared" si="14"/>
        <v>0.16972489972977034</v>
      </c>
      <c r="F236" s="43">
        <f t="shared" si="15"/>
        <v>0.16637676711419097</v>
      </c>
    </row>
    <row r="237" spans="2:6" ht="14.4" x14ac:dyDescent="0.3">
      <c r="B237" s="36">
        <v>0.21299999999999999</v>
      </c>
      <c r="C237" s="43">
        <f t="shared" si="12"/>
        <v>9164.5649382722695</v>
      </c>
      <c r="D237" s="43">
        <f t="shared" si="13"/>
        <v>0.39932413251758192</v>
      </c>
      <c r="E237" s="43">
        <f t="shared" si="14"/>
        <v>0.16967330940394115</v>
      </c>
      <c r="F237" s="43">
        <f t="shared" si="15"/>
        <v>0.16631417730066145</v>
      </c>
    </row>
    <row r="238" spans="2:6" ht="14.4" x14ac:dyDescent="0.3">
      <c r="B238" s="36">
        <v>0.214</v>
      </c>
      <c r="C238" s="43">
        <f t="shared" si="12"/>
        <v>9163.8948100012512</v>
      </c>
      <c r="D238" s="43">
        <f t="shared" si="13"/>
        <v>0.3992126740431523</v>
      </c>
      <c r="E238" s="43">
        <f t="shared" si="14"/>
        <v>0.16962179169355684</v>
      </c>
      <c r="F238" s="43">
        <f t="shared" si="15"/>
        <v>0.16625172196014559</v>
      </c>
    </row>
    <row r="239" spans="2:6" ht="14.4" x14ac:dyDescent="0.3">
      <c r="B239" s="36">
        <v>0.215</v>
      </c>
      <c r="C239" s="43">
        <f t="shared" si="12"/>
        <v>9163.2259985128767</v>
      </c>
      <c r="D239" s="43">
        <f t="shared" si="13"/>
        <v>0.39910145575159378</v>
      </c>
      <c r="E239" s="43">
        <f t="shared" si="14"/>
        <v>0.16957034588063249</v>
      </c>
      <c r="F239" s="43">
        <f t="shared" si="15"/>
        <v>0.16618939990574105</v>
      </c>
    </row>
    <row r="240" spans="2:6" ht="14.4" x14ac:dyDescent="0.3">
      <c r="B240" s="36">
        <v>0.216</v>
      </c>
      <c r="C240" s="43">
        <f t="shared" si="12"/>
        <v>9162.5584920234414</v>
      </c>
      <c r="D240" s="43">
        <f t="shared" si="13"/>
        <v>0.3989904755335863</v>
      </c>
      <c r="E240" s="43">
        <f t="shared" si="14"/>
        <v>0.16951897125514404</v>
      </c>
      <c r="F240" s="43">
        <f t="shared" si="15"/>
        <v>0.16612720996477129</v>
      </c>
    </row>
    <row r="241" spans="2:6" ht="14.4" x14ac:dyDescent="0.3">
      <c r="B241" s="36">
        <v>0.217</v>
      </c>
      <c r="C241" s="43">
        <f t="shared" si="12"/>
        <v>9161.8922788877171</v>
      </c>
      <c r="D241" s="43">
        <f t="shared" si="13"/>
        <v>0.39887973130500287</v>
      </c>
      <c r="E241" s="43">
        <f t="shared" si="14"/>
        <v>0.16946766711489386</v>
      </c>
      <c r="F241" s="43">
        <f t="shared" si="15"/>
        <v>0.16606515097854235</v>
      </c>
    </row>
    <row r="242" spans="2:6" ht="14.4" x14ac:dyDescent="0.3">
      <c r="B242" s="36">
        <v>0.218</v>
      </c>
      <c r="C242" s="43">
        <f t="shared" si="12"/>
        <v>9161.2273475965922</v>
      </c>
      <c r="D242" s="43">
        <f t="shared" si="13"/>
        <v>0.39876922100648055</v>
      </c>
      <c r="E242" s="43">
        <f t="shared" si="14"/>
        <v>0.1694164327653791</v>
      </c>
      <c r="F242" s="43">
        <f t="shared" si="15"/>
        <v>0.16600322180210481</v>
      </c>
    </row>
    <row r="243" spans="2:6" ht="14.4" x14ac:dyDescent="0.3">
      <c r="B243" s="36">
        <v>0.219</v>
      </c>
      <c r="C243" s="43">
        <f t="shared" si="12"/>
        <v>9160.5636867747871</v>
      </c>
      <c r="D243" s="43">
        <f t="shared" si="13"/>
        <v>0.39865894260300072</v>
      </c>
      <c r="E243" s="43">
        <f t="shared" si="14"/>
        <v>0.1693652675196628</v>
      </c>
      <c r="F243" s="43">
        <f t="shared" si="15"/>
        <v>0.16594142130402079</v>
      </c>
    </row>
    <row r="244" spans="2:6" ht="14.4" x14ac:dyDescent="0.3">
      <c r="B244" s="36">
        <v>0.22</v>
      </c>
      <c r="C244" s="43">
        <f t="shared" si="12"/>
        <v>9159.9012851785847</v>
      </c>
      <c r="D244" s="43">
        <f t="shared" si="13"/>
        <v>0.39854889408347777</v>
      </c>
      <c r="E244" s="43">
        <f t="shared" si="14"/>
        <v>0.16931417069824753</v>
      </c>
      <c r="F244" s="43">
        <f t="shared" si="15"/>
        <v>0.16587974836613606</v>
      </c>
    </row>
    <row r="245" spans="2:6" ht="14.4" x14ac:dyDescent="0.3">
      <c r="B245" s="36">
        <v>0.221</v>
      </c>
      <c r="C245" s="43">
        <f t="shared" si="12"/>
        <v>9159.2401316936375</v>
      </c>
      <c r="D245" s="43">
        <f t="shared" si="13"/>
        <v>0.39843907346035717</v>
      </c>
      <c r="E245" s="43">
        <f t="shared" si="14"/>
        <v>0.16926314162895195</v>
      </c>
      <c r="F245" s="43">
        <f t="shared" si="15"/>
        <v>0.16581820188335672</v>
      </c>
    </row>
    <row r="246" spans="2:6" ht="14.4" x14ac:dyDescent="0.3">
      <c r="B246" s="36">
        <v>0.222</v>
      </c>
      <c r="C246" s="43">
        <f t="shared" si="12"/>
        <v>9158.5802153328077</v>
      </c>
      <c r="D246" s="43">
        <f t="shared" si="13"/>
        <v>0.39832947876922142</v>
      </c>
      <c r="E246" s="43">
        <f t="shared" si="14"/>
        <v>0.16921217964678964</v>
      </c>
      <c r="F246" s="43">
        <f t="shared" si="15"/>
        <v>0.16575678076343076</v>
      </c>
    </row>
    <row r="247" spans="2:6" ht="14.4" x14ac:dyDescent="0.3">
      <c r="B247" s="36">
        <v>0.223</v>
      </c>
      <c r="C247" s="43">
        <f t="shared" si="12"/>
        <v>9157.9215252340528</v>
      </c>
      <c r="D247" s="43">
        <f t="shared" si="13"/>
        <v>0.39822010806840469</v>
      </c>
      <c r="E247" s="43">
        <f t="shared" si="14"/>
        <v>0.16916128409385045</v>
      </c>
      <c r="F247" s="43">
        <f t="shared" si="15"/>
        <v>0.16569548392673414</v>
      </c>
    </row>
    <row r="248" spans="2:6" ht="14.4" x14ac:dyDescent="0.3">
      <c r="B248" s="36">
        <v>0.224</v>
      </c>
      <c r="C248" s="43">
        <f t="shared" si="12"/>
        <v>9157.2640506583557</v>
      </c>
      <c r="D248" s="43">
        <f t="shared" si="13"/>
        <v>0.39811095943861496</v>
      </c>
      <c r="E248" s="43">
        <f t="shared" si="14"/>
        <v>0.16911045431918423</v>
      </c>
      <c r="F248" s="43">
        <f t="shared" si="15"/>
        <v>0.16563431030606124</v>
      </c>
    </row>
    <row r="249" spans="2:6" ht="14.4" x14ac:dyDescent="0.3">
      <c r="B249" s="36">
        <v>0.22500000000000001</v>
      </c>
      <c r="C249" s="43">
        <f t="shared" si="12"/>
        <v>9156.607780987697</v>
      </c>
      <c r="D249" s="43">
        <f t="shared" si="13"/>
        <v>0.39800203098256481</v>
      </c>
      <c r="E249" s="43">
        <f t="shared" si="14"/>
        <v>0.16905968967868712</v>
      </c>
      <c r="F249" s="43">
        <f t="shared" si="15"/>
        <v>0.16557325884641988</v>
      </c>
    </row>
    <row r="250" spans="2:6" ht="14.4" x14ac:dyDescent="0.3">
      <c r="B250" s="36">
        <v>0.22600000000000001</v>
      </c>
      <c r="C250" s="43">
        <f t="shared" si="12"/>
        <v>9155.9527057230734</v>
      </c>
      <c r="D250" s="43">
        <f t="shared" si="13"/>
        <v>0.39789332082460876</v>
      </c>
      <c r="E250" s="43">
        <f t="shared" si="14"/>
        <v>0.16900898953498983</v>
      </c>
      <c r="F250" s="43">
        <f t="shared" si="15"/>
        <v>0.16551232850483022</v>
      </c>
    </row>
    <row r="251" spans="2:6" ht="14.4" x14ac:dyDescent="0.3">
      <c r="B251" s="36">
        <v>0.22700000000000001</v>
      </c>
      <c r="C251" s="43">
        <f t="shared" si="12"/>
        <v>9155.298814482554</v>
      </c>
      <c r="D251" s="43">
        <f t="shared" si="13"/>
        <v>0.39778482711038921</v>
      </c>
      <c r="E251" s="43">
        <f t="shared" si="14"/>
        <v>0.16895835325734837</v>
      </c>
      <c r="F251" s="43">
        <f t="shared" si="15"/>
        <v>0.16545151825012822</v>
      </c>
    </row>
    <row r="252" spans="2:6" ht="14.4" x14ac:dyDescent="0.3">
      <c r="B252" s="36">
        <v>0.22800000000000001</v>
      </c>
      <c r="C252" s="43">
        <f t="shared" si="12"/>
        <v>9154.6460969993677</v>
      </c>
      <c r="D252" s="43">
        <f t="shared" si="13"/>
        <v>0.39767654800648877</v>
      </c>
      <c r="E252" s="43">
        <f t="shared" si="14"/>
        <v>0.16890778022153685</v>
      </c>
      <c r="F252" s="43">
        <f t="shared" si="15"/>
        <v>0.16539082706277275</v>
      </c>
    </row>
    <row r="253" spans="2:6" ht="14.4" x14ac:dyDescent="0.3">
      <c r="B253" s="36">
        <v>0.22900000000000001</v>
      </c>
      <c r="C253" s="43">
        <f t="shared" si="12"/>
        <v>9153.9945431200449</v>
      </c>
      <c r="D253" s="43">
        <f t="shared" si="13"/>
        <v>0.39756848170009002</v>
      </c>
      <c r="E253" s="43">
        <f t="shared" si="14"/>
        <v>0.16885726980974253</v>
      </c>
      <c r="F253" s="43">
        <f t="shared" si="15"/>
        <v>0.16533025393465678</v>
      </c>
    </row>
    <row r="254" spans="2:6" ht="14.4" x14ac:dyDescent="0.3">
      <c r="B254" s="36">
        <v>0.23</v>
      </c>
      <c r="C254" s="43">
        <f t="shared" si="12"/>
        <v>9153.344142802589</v>
      </c>
      <c r="D254" s="43">
        <f t="shared" si="13"/>
        <v>0.39746062639864227</v>
      </c>
      <c r="E254" s="43">
        <f t="shared" si="14"/>
        <v>0.16880682141046272</v>
      </c>
      <c r="F254" s="43">
        <f t="shared" si="15"/>
        <v>0.16526979786892257</v>
      </c>
    </row>
    <row r="255" spans="2:6" ht="14.4" x14ac:dyDescent="0.3">
      <c r="B255" s="36">
        <v>0.23100000000000001</v>
      </c>
      <c r="C255" s="43">
        <f t="shared" si="12"/>
        <v>9152.6948861146775</v>
      </c>
      <c r="D255" s="43">
        <f t="shared" si="13"/>
        <v>0.39735298032953476</v>
      </c>
      <c r="E255" s="43">
        <f t="shared" si="14"/>
        <v>0.16875643441840393</v>
      </c>
      <c r="F255" s="43">
        <f t="shared" si="15"/>
        <v>0.16520945787978017</v>
      </c>
    </row>
    <row r="256" spans="2:6" ht="14.4" x14ac:dyDescent="0.3">
      <c r="B256" s="36">
        <v>0.23200000000000001</v>
      </c>
      <c r="C256" s="43">
        <f t="shared" si="12"/>
        <v>9152.0467632319105</v>
      </c>
      <c r="D256" s="43">
        <f t="shared" si="13"/>
        <v>0.39724554173977672</v>
      </c>
      <c r="E256" s="43">
        <f t="shared" si="14"/>
        <v>0.16870610823438303</v>
      </c>
      <c r="F256" s="43">
        <f t="shared" si="15"/>
        <v>0.16514923299233003</v>
      </c>
    </row>
    <row r="257" spans="2:6" ht="14.4" x14ac:dyDescent="0.3">
      <c r="B257" s="36">
        <v>0.23300000000000001</v>
      </c>
      <c r="C257" s="43">
        <f t="shared" si="12"/>
        <v>9151.3997644360916</v>
      </c>
      <c r="D257" s="43">
        <f t="shared" si="13"/>
        <v>0.39713830889568363</v>
      </c>
      <c r="E257" s="43">
        <f t="shared" si="14"/>
        <v>0.16865584226522989</v>
      </c>
      <c r="F257" s="43">
        <f t="shared" si="15"/>
        <v>0.16508912224238878</v>
      </c>
    </row>
    <row r="258" spans="2:6" ht="14.4" x14ac:dyDescent="0.3">
      <c r="B258" s="36">
        <v>0.23400000000000001</v>
      </c>
      <c r="C258" s="43">
        <f t="shared" si="12"/>
        <v>9150.7538801135361</v>
      </c>
      <c r="D258" s="43">
        <f t="shared" si="13"/>
        <v>0.39703128008256988</v>
      </c>
      <c r="E258" s="43">
        <f t="shared" si="14"/>
        <v>0.1686056359236926</v>
      </c>
      <c r="F258" s="43">
        <f t="shared" si="15"/>
        <v>0.16502912467631875</v>
      </c>
    </row>
    <row r="259" spans="2:6" ht="14.4" x14ac:dyDescent="0.3">
      <c r="B259" s="36">
        <v>0.23499999999999999</v>
      </c>
      <c r="C259" s="43">
        <f t="shared" si="12"/>
        <v>9150.1091007534233</v>
      </c>
      <c r="D259" s="43">
        <f t="shared" si="13"/>
        <v>0.39692445360444739</v>
      </c>
      <c r="E259" s="43">
        <f t="shared" si="14"/>
        <v>0.16855548862834396</v>
      </c>
      <c r="F259" s="43">
        <f t="shared" si="15"/>
        <v>0.1649692393508608</v>
      </c>
    </row>
    <row r="260" spans="2:6" ht="14.4" x14ac:dyDescent="0.3">
      <c r="B260" s="36">
        <v>0.23599999999999999</v>
      </c>
      <c r="C260" s="43">
        <f t="shared" si="12"/>
        <v>9149.4654169461664</v>
      </c>
      <c r="D260" s="43">
        <f t="shared" si="13"/>
        <v>0.39681782778373031</v>
      </c>
      <c r="E260" s="43">
        <f t="shared" si="14"/>
        <v>0.16850539980348989</v>
      </c>
      <c r="F260" s="43">
        <f t="shared" si="15"/>
        <v>0.1649094653329703</v>
      </c>
    </row>
    <row r="261" spans="2:6" ht="14.4" x14ac:dyDescent="0.3">
      <c r="B261" s="36">
        <v>0.23699999999999999</v>
      </c>
      <c r="C261" s="43">
        <f t="shared" si="12"/>
        <v>9148.8228193818322</v>
      </c>
      <c r="D261" s="43">
        <f t="shared" si="13"/>
        <v>0.39671140096094559</v>
      </c>
      <c r="E261" s="43">
        <f t="shared" si="14"/>
        <v>0.16845536887907989</v>
      </c>
      <c r="F261" s="43">
        <f t="shared" si="15"/>
        <v>0.16484980169965652</v>
      </c>
    </row>
    <row r="262" spans="2:6" ht="14.4" x14ac:dyDescent="0.3">
      <c r="B262" s="36">
        <v>0.23799999999999999</v>
      </c>
      <c r="C262" s="43">
        <f t="shared" si="12"/>
        <v>9148.1812988485799</v>
      </c>
      <c r="D262" s="43">
        <f t="shared" si="13"/>
        <v>0.39660517149444874</v>
      </c>
      <c r="E262" s="43">
        <f t="shared" si="14"/>
        <v>0.16840539529061879</v>
      </c>
      <c r="F262" s="43">
        <f t="shared" si="15"/>
        <v>0.16479024753782515</v>
      </c>
    </row>
    <row r="263" spans="2:6" ht="14.4" x14ac:dyDescent="0.3">
      <c r="B263" s="36">
        <v>0.23899999999999999</v>
      </c>
      <c r="C263" s="43">
        <f t="shared" si="12"/>
        <v>9147.5408462311279</v>
      </c>
      <c r="D263" s="43">
        <f t="shared" si="13"/>
        <v>0.39649913776014589</v>
      </c>
      <c r="E263" s="43">
        <f t="shared" si="14"/>
        <v>0.16835547847908047</v>
      </c>
      <c r="F263" s="43">
        <f t="shared" si="15"/>
        <v>0.16473080194412376</v>
      </c>
    </row>
    <row r="264" spans="2:6" ht="14.4" x14ac:dyDescent="0.3">
      <c r="B264" s="36">
        <v>0.24</v>
      </c>
      <c r="C264" s="43">
        <f t="shared" si="12"/>
        <v>9146.9014525092607</v>
      </c>
      <c r="D264" s="43">
        <f t="shared" si="13"/>
        <v>0.39639329815122082</v>
      </c>
      <c r="E264" s="43">
        <f t="shared" si="14"/>
        <v>0.16830561789082304</v>
      </c>
      <c r="F264" s="43">
        <f t="shared" si="15"/>
        <v>0.16467146402479035</v>
      </c>
    </row>
    <row r="265" spans="2:6" ht="14.4" x14ac:dyDescent="0.3">
      <c r="B265" s="36">
        <v>0.24099999999999999</v>
      </c>
      <c r="C265" s="43">
        <f t="shared" si="12"/>
        <v>9146.2631087563568</v>
      </c>
      <c r="D265" s="43">
        <f t="shared" si="13"/>
        <v>0.39628765107786706</v>
      </c>
      <c r="E265" s="43">
        <f t="shared" si="14"/>
        <v>0.16825581297750575</v>
      </c>
      <c r="F265" s="43">
        <f t="shared" si="15"/>
        <v>0.16461223289550486</v>
      </c>
    </row>
    <row r="266" spans="2:6" ht="14.4" x14ac:dyDescent="0.3">
      <c r="B266" s="36">
        <v>0.24199999999999999</v>
      </c>
      <c r="C266" s="43">
        <f t="shared" si="12"/>
        <v>9145.6258061379449</v>
      </c>
      <c r="D266" s="43">
        <f t="shared" si="13"/>
        <v>0.39618219496702567</v>
      </c>
      <c r="E266" s="43">
        <f t="shared" si="14"/>
        <v>0.16820606319600717</v>
      </c>
      <c r="F266" s="43">
        <f t="shared" si="15"/>
        <v>0.16455310768124351</v>
      </c>
    </row>
    <row r="267" spans="2:6" ht="14.4" x14ac:dyDescent="0.3">
      <c r="B267" s="36">
        <v>0.24299999999999999</v>
      </c>
      <c r="C267" s="43">
        <f t="shared" si="12"/>
        <v>9144.9895359102957</v>
      </c>
      <c r="D267" s="43">
        <f t="shared" si="13"/>
        <v>0.39607692826212759</v>
      </c>
      <c r="E267" s="43">
        <f t="shared" si="14"/>
        <v>0.16815636800834549</v>
      </c>
      <c r="F267" s="43">
        <f t="shared" si="15"/>
        <v>0.16449408751613576</v>
      </c>
    </row>
    <row r="268" spans="2:6" ht="14.4" x14ac:dyDescent="0.3">
      <c r="B268" s="36">
        <v>0.24399999999999999</v>
      </c>
      <c r="C268" s="43">
        <f t="shared" si="12"/>
        <v>9144.354289419025</v>
      </c>
      <c r="D268" s="43">
        <f t="shared" si="13"/>
        <v>0.39597184942284114</v>
      </c>
      <c r="E268" s="43">
        <f t="shared" si="14"/>
        <v>0.1681067268815995</v>
      </c>
      <c r="F268" s="43">
        <f t="shared" si="15"/>
        <v>0.1644351715433244</v>
      </c>
    </row>
    <row r="269" spans="2:6" ht="14.4" x14ac:dyDescent="0.3">
      <c r="B269" s="36">
        <v>0.245</v>
      </c>
      <c r="C269" s="43">
        <f t="shared" si="12"/>
        <v>9143.7200580977405</v>
      </c>
      <c r="D269" s="43">
        <f t="shared" si="13"/>
        <v>0.39586695692482449</v>
      </c>
      <c r="E269" s="43">
        <f t="shared" si="14"/>
        <v>0.1680571392878317</v>
      </c>
      <c r="F269" s="43">
        <f t="shared" si="15"/>
        <v>0.16437635891482785</v>
      </c>
    </row>
    <row r="270" spans="2:6" ht="14.4" x14ac:dyDescent="0.3">
      <c r="B270" s="36">
        <v>0.246</v>
      </c>
      <c r="C270" s="43">
        <f t="shared" si="12"/>
        <v>9143.086833466703</v>
      </c>
      <c r="D270" s="43">
        <f t="shared" si="13"/>
        <v>0.39576224925948217</v>
      </c>
      <c r="E270" s="43">
        <f t="shared" si="14"/>
        <v>0.16800760470401255</v>
      </c>
      <c r="F270" s="43">
        <f t="shared" si="15"/>
        <v>0.16431764879140534</v>
      </c>
    </row>
    <row r="271" spans="2:6" ht="14.4" x14ac:dyDescent="0.3">
      <c r="B271" s="36">
        <v>0.247</v>
      </c>
      <c r="C271" s="43">
        <f t="shared" si="12"/>
        <v>9142.4546071315126</v>
      </c>
      <c r="D271" s="43">
        <f t="shared" si="13"/>
        <v>0.39565772493372708</v>
      </c>
      <c r="E271" s="43">
        <f t="shared" si="14"/>
        <v>0.16795812261194593</v>
      </c>
      <c r="F271" s="43">
        <f t="shared" si="15"/>
        <v>0.16425904034242458</v>
      </c>
    </row>
    <row r="272" spans="2:6" ht="14.4" x14ac:dyDescent="0.3">
      <c r="B272" s="36">
        <v>0.248</v>
      </c>
      <c r="C272" s="43">
        <f t="shared" si="12"/>
        <v>9141.8233707818308</v>
      </c>
      <c r="D272" s="43">
        <f t="shared" si="13"/>
        <v>0.39555338246974614</v>
      </c>
      <c r="E272" s="43">
        <f t="shared" si="14"/>
        <v>0.1679086924981964</v>
      </c>
      <c r="F272" s="43">
        <f t="shared" si="15"/>
        <v>0.16420053274573188</v>
      </c>
    </row>
    <row r="273" spans="2:6" ht="14.4" x14ac:dyDescent="0.3">
      <c r="B273" s="36">
        <v>0.249</v>
      </c>
      <c r="C273" s="43">
        <f t="shared" si="12"/>
        <v>9141.1931161901084</v>
      </c>
      <c r="D273" s="43">
        <f t="shared" si="13"/>
        <v>0.39544922040477082</v>
      </c>
      <c r="E273" s="43">
        <f t="shared" si="14"/>
        <v>0.16785931385401731</v>
      </c>
      <c r="F273" s="43">
        <f t="shared" si="15"/>
        <v>0.16414212518752463</v>
      </c>
    </row>
    <row r="274" spans="2:6" ht="14.4" x14ac:dyDescent="0.3">
      <c r="B274" s="36">
        <v>0.25</v>
      </c>
      <c r="C274" s="43">
        <f t="shared" si="12"/>
        <v>9140.5638352103524</v>
      </c>
      <c r="D274" s="43">
        <f t="shared" si="13"/>
        <v>0.39534523729085175</v>
      </c>
      <c r="E274" s="43">
        <f t="shared" si="14"/>
        <v>0.16780998617528059</v>
      </c>
      <c r="F274" s="43">
        <f t="shared" si="15"/>
        <v>0.16408381686222637</v>
      </c>
    </row>
    <row r="275" spans="2:6" ht="14.4" x14ac:dyDescent="0.3">
      <c r="B275" s="36">
        <v>0.251</v>
      </c>
      <c r="C275" s="43">
        <f t="shared" si="12"/>
        <v>9139.9355197769091</v>
      </c>
      <c r="D275" s="43">
        <f t="shared" si="13"/>
        <v>0.39524143169463771</v>
      </c>
      <c r="E275" s="43">
        <f t="shared" si="14"/>
        <v>0.16776070896240752</v>
      </c>
      <c r="F275" s="43">
        <f t="shared" si="15"/>
        <v>0.1640256069723639</v>
      </c>
    </row>
    <row r="276" spans="2:6" ht="14.4" x14ac:dyDescent="0.3">
      <c r="B276" s="36">
        <v>0.252</v>
      </c>
      <c r="C276" s="43">
        <f t="shared" si="12"/>
        <v>9139.3081619032691</v>
      </c>
      <c r="D276" s="43">
        <f t="shared" si="13"/>
        <v>0.39513780219715822</v>
      </c>
      <c r="E276" s="43">
        <f t="shared" si="14"/>
        <v>0.16771148172030093</v>
      </c>
      <c r="F276" s="43">
        <f t="shared" si="15"/>
        <v>0.16396749472844688</v>
      </c>
    </row>
    <row r="277" spans="2:6" ht="14.4" x14ac:dyDescent="0.3">
      <c r="B277" s="36">
        <v>0.253</v>
      </c>
      <c r="C277" s="43">
        <f t="shared" si="12"/>
        <v>9138.681753680894</v>
      </c>
      <c r="D277" s="43">
        <f t="shared" si="13"/>
        <v>0.39503434739361082</v>
      </c>
      <c r="E277" s="43">
        <f t="shared" si="14"/>
        <v>0.16766230395827852</v>
      </c>
      <c r="F277" s="43">
        <f t="shared" si="15"/>
        <v>0.16390947934884953</v>
      </c>
    </row>
    <row r="278" spans="2:6" ht="14.4" x14ac:dyDescent="0.3">
      <c r="B278" s="36">
        <v>0.254</v>
      </c>
      <c r="C278" s="43">
        <f t="shared" si="12"/>
        <v>9138.0562872780702</v>
      </c>
      <c r="D278" s="43">
        <f t="shared" si="13"/>
        <v>0.39493106589315163</v>
      </c>
      <c r="E278" s="43">
        <f t="shared" si="14"/>
        <v>0.16761317519000735</v>
      </c>
      <c r="F278" s="43">
        <f t="shared" si="15"/>
        <v>0.16385156005969448</v>
      </c>
    </row>
    <row r="279" spans="2:6" ht="14.4" x14ac:dyDescent="0.3">
      <c r="B279" s="36">
        <v>0.255</v>
      </c>
      <c r="C279" s="43">
        <f t="shared" si="12"/>
        <v>9137.4317549387724</v>
      </c>
      <c r="D279" s="43">
        <f t="shared" si="13"/>
        <v>0.39482795631868994</v>
      </c>
      <c r="E279" s="43">
        <f t="shared" si="14"/>
        <v>0.16756409493343952</v>
      </c>
      <c r="F279" s="43">
        <f t="shared" si="15"/>
        <v>0.16379373609473885</v>
      </c>
    </row>
    <row r="280" spans="2:6" ht="14.4" x14ac:dyDescent="0.3">
      <c r="B280" s="36">
        <v>0.25600000000000001</v>
      </c>
      <c r="C280" s="43">
        <f t="shared" si="12"/>
        <v>9136.8081489815613</v>
      </c>
      <c r="D280" s="43">
        <f t="shared" si="13"/>
        <v>0.39472501730668691</v>
      </c>
      <c r="E280" s="43">
        <f t="shared" si="14"/>
        <v>0.16751506271074898</v>
      </c>
      <c r="F280" s="43">
        <f t="shared" si="15"/>
        <v>0.16373600669526223</v>
      </c>
    </row>
    <row r="281" spans="2:6" ht="14.4" x14ac:dyDescent="0.3">
      <c r="B281" s="36">
        <v>0.25700000000000001</v>
      </c>
      <c r="C281" s="43">
        <f t="shared" ref="C281:C344" si="16">_xlfn.BETA.INV((1-B281),$C$7,$C$8)*($C$5-$C$3)+$C$3</f>
        <v>9136.1854617984882</v>
      </c>
      <c r="D281" s="43">
        <f t="shared" ref="D281:D344" si="17">_xlfn.BETA.INV((1-B281),$D$7,$D$8)*($D$5-$D$3)+$D$3</f>
        <v>0.39462224750695718</v>
      </c>
      <c r="E281" s="43">
        <f t="shared" ref="E281:E344" si="18">_xlfn.BETA.INV((1-B281),$E$7,$E$8)*($E$5-$E$3)+$E$3</f>
        <v>0.16746607804826946</v>
      </c>
      <c r="F281" s="43">
        <f t="shared" ref="F281:F344" si="19">_xlfn.BETA.INV((1-B281),$F$7,$F$8)*($F$5-$F$3)+$F$3</f>
        <v>0.16367837110995684</v>
      </c>
    </row>
    <row r="282" spans="2:6" ht="14.4" x14ac:dyDescent="0.3">
      <c r="B282" s="36">
        <v>0.25800000000000001</v>
      </c>
      <c r="C282" s="43">
        <f t="shared" si="16"/>
        <v>9135.5636858540274</v>
      </c>
      <c r="D282" s="43">
        <f t="shared" si="17"/>
        <v>0.39451964558247454</v>
      </c>
      <c r="E282" s="43">
        <f t="shared" si="18"/>
        <v>0.16741714047643352</v>
      </c>
      <c r="F282" s="43">
        <f t="shared" si="19"/>
        <v>0.16362082859481963</v>
      </c>
    </row>
    <row r="283" spans="2:6" ht="14.4" x14ac:dyDescent="0.3">
      <c r="B283" s="36">
        <v>0.25900000000000001</v>
      </c>
      <c r="C283" s="43">
        <f t="shared" si="16"/>
        <v>9134.9428136840252</v>
      </c>
      <c r="D283" s="43">
        <f t="shared" si="17"/>
        <v>0.39441721020918119</v>
      </c>
      <c r="E283" s="43">
        <f t="shared" si="18"/>
        <v>0.16736824952971247</v>
      </c>
      <c r="F283" s="43">
        <f t="shared" si="19"/>
        <v>0.16356337841304622</v>
      </c>
    </row>
    <row r="284" spans="2:6" ht="14.4" x14ac:dyDescent="0.3">
      <c r="B284" s="36">
        <v>0.26</v>
      </c>
      <c r="C284" s="43">
        <f t="shared" si="16"/>
        <v>9134.3228378946696</v>
      </c>
      <c r="D284" s="43">
        <f t="shared" si="17"/>
        <v>0.39431494007579998</v>
      </c>
      <c r="E284" s="43">
        <f t="shared" si="18"/>
        <v>0.16731940474655749</v>
      </c>
      <c r="F284" s="43">
        <f t="shared" si="19"/>
        <v>0.16350601983492682</v>
      </c>
    </row>
    <row r="285" spans="2:6" ht="14.4" x14ac:dyDescent="0.3">
      <c r="B285" s="36">
        <v>0.26100000000000001</v>
      </c>
      <c r="C285" s="43">
        <f t="shared" si="16"/>
        <v>9133.703751161469</v>
      </c>
      <c r="D285" s="43">
        <f t="shared" si="17"/>
        <v>0.39421283388365036</v>
      </c>
      <c r="E285" s="43">
        <f t="shared" si="18"/>
        <v>0.16727060566934182</v>
      </c>
      <c r="F285" s="43">
        <f t="shared" si="19"/>
        <v>0.16344875213774401</v>
      </c>
    </row>
    <row r="286" spans="2:6" ht="14.4" x14ac:dyDescent="0.3">
      <c r="B286" s="36">
        <v>0.26200000000000001</v>
      </c>
      <c r="C286" s="43">
        <f t="shared" si="16"/>
        <v>9133.0855462282634</v>
      </c>
      <c r="D286" s="43">
        <f t="shared" si="17"/>
        <v>0.39411089034646729</v>
      </c>
      <c r="E286" s="43">
        <f t="shared" si="18"/>
        <v>0.16722185184430388</v>
      </c>
      <c r="F286" s="43">
        <f t="shared" si="19"/>
        <v>0.16339157460567233</v>
      </c>
    </row>
    <row r="287" spans="2:6" ht="14.4" x14ac:dyDescent="0.3">
      <c r="B287" s="36">
        <v>0.26300000000000001</v>
      </c>
      <c r="C287" s="43">
        <f t="shared" si="16"/>
        <v>9132.468215906245</v>
      </c>
      <c r="D287" s="43">
        <f t="shared" si="17"/>
        <v>0.39400910819022372</v>
      </c>
      <c r="E287" s="43">
        <f t="shared" si="18"/>
        <v>0.16717314282149118</v>
      </c>
      <c r="F287" s="43">
        <f t="shared" si="19"/>
        <v>0.1633344865296795</v>
      </c>
    </row>
    <row r="288" spans="2:6" ht="14.4" x14ac:dyDescent="0.3">
      <c r="B288" s="36">
        <v>0.26400000000000001</v>
      </c>
      <c r="C288" s="43">
        <f t="shared" si="16"/>
        <v>9131.8517530729914</v>
      </c>
      <c r="D288" s="43">
        <f t="shared" si="17"/>
        <v>0.39390748615295579</v>
      </c>
      <c r="E288" s="43">
        <f t="shared" si="18"/>
        <v>0.16712447815470538</v>
      </c>
      <c r="F288" s="43">
        <f t="shared" si="19"/>
        <v>0.16327748720742966</v>
      </c>
    </row>
    <row r="289" spans="2:6" ht="14.4" x14ac:dyDescent="0.3">
      <c r="B289" s="36">
        <v>0.26500000000000001</v>
      </c>
      <c r="C289" s="43">
        <f t="shared" si="16"/>
        <v>9131.2361506715242</v>
      </c>
      <c r="D289" s="43">
        <f t="shared" si="17"/>
        <v>0.39380602298459133</v>
      </c>
      <c r="E289" s="43">
        <f t="shared" si="18"/>
        <v>0.16707585740144842</v>
      </c>
      <c r="F289" s="43">
        <f t="shared" si="19"/>
        <v>0.16322057594318795</v>
      </c>
    </row>
    <row r="290" spans="2:6" ht="14.4" x14ac:dyDescent="0.3">
      <c r="B290" s="36">
        <v>0.26600000000000001</v>
      </c>
      <c r="C290" s="43">
        <f t="shared" si="16"/>
        <v>9130.6214017093826</v>
      </c>
      <c r="D290" s="43">
        <f t="shared" si="17"/>
        <v>0.39370471744678148</v>
      </c>
      <c r="E290" s="43">
        <f t="shared" si="18"/>
        <v>0.16702728012286908</v>
      </c>
      <c r="F290" s="43">
        <f t="shared" si="19"/>
        <v>0.16316375204772715</v>
      </c>
    </row>
    <row r="291" spans="2:6" ht="14.4" x14ac:dyDescent="0.3">
      <c r="B291" s="36">
        <v>0.26700000000000002</v>
      </c>
      <c r="C291" s="43">
        <f t="shared" si="16"/>
        <v>9130.0074992577029</v>
      </c>
      <c r="D291" s="43">
        <f t="shared" si="17"/>
        <v>0.39360356831273469</v>
      </c>
      <c r="E291" s="43">
        <f t="shared" si="18"/>
        <v>0.16697874588371098</v>
      </c>
      <c r="F291" s="43">
        <f t="shared" si="19"/>
        <v>0.16310701483823548</v>
      </c>
    </row>
    <row r="292" spans="2:6" ht="14.4" x14ac:dyDescent="0.3">
      <c r="B292" s="36">
        <v>0.26800000000000002</v>
      </c>
      <c r="C292" s="43">
        <f t="shared" si="16"/>
        <v>9129.3944364503295</v>
      </c>
      <c r="D292" s="43">
        <f t="shared" si="17"/>
        <v>0.39350257436705438</v>
      </c>
      <c r="E292" s="43">
        <f t="shared" si="18"/>
        <v>0.1669302542522611</v>
      </c>
      <c r="F292" s="43">
        <f t="shared" si="19"/>
        <v>0.16305036363822645</v>
      </c>
    </row>
    <row r="293" spans="2:6" ht="14.4" x14ac:dyDescent="0.3">
      <c r="B293" s="36">
        <v>0.26900000000000002</v>
      </c>
      <c r="C293" s="43">
        <f t="shared" si="16"/>
        <v>9128.7822064829325</v>
      </c>
      <c r="D293" s="43">
        <f t="shared" si="17"/>
        <v>0.39340173440557863</v>
      </c>
      <c r="E293" s="43">
        <f t="shared" si="18"/>
        <v>0.16688180480029918</v>
      </c>
      <c r="F293" s="43">
        <f t="shared" si="19"/>
        <v>0.16299379777744993</v>
      </c>
    </row>
    <row r="294" spans="2:6" ht="14.4" x14ac:dyDescent="0.3">
      <c r="B294" s="36">
        <v>0.27</v>
      </c>
      <c r="C294" s="43">
        <f t="shared" si="16"/>
        <v>9128.1708026121341</v>
      </c>
      <c r="D294" s="43">
        <f t="shared" si="17"/>
        <v>0.39330104723522313</v>
      </c>
      <c r="E294" s="43">
        <f t="shared" si="18"/>
        <v>0.16683339710304823</v>
      </c>
      <c r="F294" s="43">
        <f t="shared" si="19"/>
        <v>0.16293731659180502</v>
      </c>
    </row>
    <row r="295" spans="2:6" ht="14.4" x14ac:dyDescent="0.3">
      <c r="B295" s="36">
        <v>0.27100000000000002</v>
      </c>
      <c r="C295" s="43">
        <f t="shared" si="16"/>
        <v>9127.5602181546692</v>
      </c>
      <c r="D295" s="43">
        <f t="shared" si="17"/>
        <v>0.39320051167382664</v>
      </c>
      <c r="E295" s="43">
        <f t="shared" si="18"/>
        <v>0.16678503073912543</v>
      </c>
      <c r="F295" s="43">
        <f t="shared" si="19"/>
        <v>0.16288091942325403</v>
      </c>
    </row>
    <row r="296" spans="2:6" ht="14.4" x14ac:dyDescent="0.3">
      <c r="B296" s="36">
        <v>0.27200000000000002</v>
      </c>
      <c r="C296" s="43">
        <f t="shared" si="16"/>
        <v>9126.9504464865313</v>
      </c>
      <c r="D296" s="43">
        <f t="shared" si="17"/>
        <v>0.39310012654999921</v>
      </c>
      <c r="E296" s="43">
        <f t="shared" si="18"/>
        <v>0.16673670529049417</v>
      </c>
      <c r="F296" s="43">
        <f t="shared" si="19"/>
        <v>0.16282460561973838</v>
      </c>
    </row>
    <row r="297" spans="2:6" ht="14.4" x14ac:dyDescent="0.3">
      <c r="B297" s="36">
        <v>0.27300000000000002</v>
      </c>
      <c r="C297" s="43">
        <f t="shared" si="16"/>
        <v>9126.3414810421637</v>
      </c>
      <c r="D297" s="43">
        <f t="shared" si="17"/>
        <v>0.39299989070297253</v>
      </c>
      <c r="E297" s="43">
        <f t="shared" si="18"/>
        <v>0.16668842034241688</v>
      </c>
      <c r="F297" s="43">
        <f t="shared" si="19"/>
        <v>0.16276837453509554</v>
      </c>
    </row>
    <row r="298" spans="2:6" ht="14.4" x14ac:dyDescent="0.3">
      <c r="B298" s="36">
        <v>0.27400000000000002</v>
      </c>
      <c r="C298" s="43">
        <f t="shared" si="16"/>
        <v>9125.733315313646</v>
      </c>
      <c r="D298" s="43">
        <f t="shared" si="17"/>
        <v>0.39289980298245353</v>
      </c>
      <c r="E298" s="43">
        <f t="shared" si="18"/>
        <v>0.16664017548340823</v>
      </c>
      <c r="F298" s="43">
        <f t="shared" si="19"/>
        <v>0.16271222552897763</v>
      </c>
    </row>
    <row r="299" spans="2:6" ht="14.4" x14ac:dyDescent="0.3">
      <c r="B299" s="36">
        <v>0.27500000000000002</v>
      </c>
      <c r="C299" s="43">
        <f t="shared" si="16"/>
        <v>9125.1259428498906</v>
      </c>
      <c r="D299" s="43">
        <f t="shared" si="17"/>
        <v>0.39279986224847985</v>
      </c>
      <c r="E299" s="43">
        <f t="shared" si="18"/>
        <v>0.16659197030518968</v>
      </c>
      <c r="F299" s="43">
        <f t="shared" si="19"/>
        <v>0.16265615796677121</v>
      </c>
    </row>
    <row r="300" spans="2:6" ht="14.4" x14ac:dyDescent="0.3">
      <c r="B300" s="36">
        <v>0.27600000000000002</v>
      </c>
      <c r="C300" s="43">
        <f t="shared" si="16"/>
        <v>9124.5193572558746</v>
      </c>
      <c r="D300" s="43">
        <f t="shared" si="17"/>
        <v>0.39270006737127777</v>
      </c>
      <c r="E300" s="43">
        <f t="shared" si="18"/>
        <v>0.16654380440264424</v>
      </c>
      <c r="F300" s="43">
        <f t="shared" si="19"/>
        <v>0.16260017121951861</v>
      </c>
    </row>
    <row r="301" spans="2:6" ht="14.4" x14ac:dyDescent="0.3">
      <c r="B301" s="36">
        <v>0.27700000000000002</v>
      </c>
      <c r="C301" s="43">
        <f t="shared" si="16"/>
        <v>9123.9135521918506</v>
      </c>
      <c r="D301" s="43">
        <f t="shared" si="17"/>
        <v>0.39260041723112327</v>
      </c>
      <c r="E301" s="43">
        <f t="shared" si="18"/>
        <v>0.16649567737377224</v>
      </c>
      <c r="F301" s="43">
        <f t="shared" si="19"/>
        <v>0.16254426466384031</v>
      </c>
    </row>
    <row r="302" spans="2:6" ht="14.4" x14ac:dyDescent="0.3">
      <c r="B302" s="36">
        <v>0.27800000000000002</v>
      </c>
      <c r="C302" s="43">
        <f t="shared" si="16"/>
        <v>9123.3085213726099</v>
      </c>
      <c r="D302" s="43">
        <f t="shared" si="17"/>
        <v>0.39250091071820403</v>
      </c>
      <c r="E302" s="43">
        <f t="shared" si="18"/>
        <v>0.16644758881964777</v>
      </c>
      <c r="F302" s="43">
        <f t="shared" si="19"/>
        <v>0.16248843768185889</v>
      </c>
    </row>
    <row r="303" spans="2:6" ht="14.4" x14ac:dyDescent="0.3">
      <c r="B303" s="36">
        <v>0.27900000000000003</v>
      </c>
      <c r="C303" s="43">
        <f t="shared" si="16"/>
        <v>9122.7042585667223</v>
      </c>
      <c r="D303" s="43">
        <f t="shared" si="17"/>
        <v>0.39240154673248506</v>
      </c>
      <c r="E303" s="43">
        <f t="shared" si="18"/>
        <v>0.16639953834437571</v>
      </c>
      <c r="F303" s="43">
        <f t="shared" si="19"/>
        <v>0.16243268966112404</v>
      </c>
    </row>
    <row r="304" spans="2:6" ht="14.4" x14ac:dyDescent="0.3">
      <c r="B304" s="36">
        <v>0.28000000000000003</v>
      </c>
      <c r="C304" s="43">
        <f t="shared" si="16"/>
        <v>9122.100757595812</v>
      </c>
      <c r="D304" s="43">
        <f t="shared" si="17"/>
        <v>0.39230232418357602</v>
      </c>
      <c r="E304" s="43">
        <f t="shared" si="18"/>
        <v>0.16635152555504962</v>
      </c>
      <c r="F304" s="43">
        <f t="shared" si="19"/>
        <v>0.16237701999453885</v>
      </c>
    </row>
    <row r="305" spans="2:6" ht="14.4" x14ac:dyDescent="0.3">
      <c r="B305" s="36">
        <v>0.28100000000000003</v>
      </c>
      <c r="C305" s="43">
        <f t="shared" si="16"/>
        <v>9121.4980123338337</v>
      </c>
      <c r="D305" s="43">
        <f t="shared" si="17"/>
        <v>0.39220324199060008</v>
      </c>
      <c r="E305" s="43">
        <f t="shared" si="18"/>
        <v>0.16630355006170999</v>
      </c>
      <c r="F305" s="43">
        <f t="shared" si="19"/>
        <v>0.16232142808028743</v>
      </c>
    </row>
    <row r="306" spans="2:6" ht="14.4" x14ac:dyDescent="0.3">
      <c r="B306" s="36">
        <v>0.28199999999999997</v>
      </c>
      <c r="C306" s="43">
        <f t="shared" si="16"/>
        <v>9120.8960167063633</v>
      </c>
      <c r="D306" s="43">
        <f t="shared" si="17"/>
        <v>0.39210429908206623</v>
      </c>
      <c r="E306" s="43">
        <f t="shared" si="18"/>
        <v>0.16625561147730361</v>
      </c>
      <c r="F306" s="43">
        <f t="shared" si="19"/>
        <v>0.16226591332176354</v>
      </c>
    </row>
    <row r="307" spans="2:6" ht="14.4" x14ac:dyDescent="0.3">
      <c r="B307" s="36">
        <v>0.28299999999999997</v>
      </c>
      <c r="C307" s="43">
        <f t="shared" si="16"/>
        <v>9120.2947646899065</v>
      </c>
      <c r="D307" s="43">
        <f t="shared" si="17"/>
        <v>0.39200549439574278</v>
      </c>
      <c r="E307" s="43">
        <f t="shared" si="18"/>
        <v>0.1662077094176431</v>
      </c>
      <c r="F307" s="43">
        <f t="shared" si="19"/>
        <v>0.16221047512750042</v>
      </c>
    </row>
    <row r="308" spans="2:6" ht="14.4" x14ac:dyDescent="0.3">
      <c r="B308" s="36">
        <v>0.28399999999999997</v>
      </c>
      <c r="C308" s="43">
        <f t="shared" si="16"/>
        <v>9119.6942503112004</v>
      </c>
      <c r="D308" s="43">
        <f t="shared" si="17"/>
        <v>0.39190682687853273</v>
      </c>
      <c r="E308" s="43">
        <f t="shared" si="18"/>
        <v>0.16615984350136728</v>
      </c>
      <c r="F308" s="43">
        <f t="shared" si="19"/>
        <v>0.16215511291110196</v>
      </c>
    </row>
    <row r="309" spans="2:6" ht="14.4" x14ac:dyDescent="0.3">
      <c r="B309" s="36">
        <v>0.28499999999999998</v>
      </c>
      <c r="C309" s="43">
        <f t="shared" si="16"/>
        <v>9119.0944676465533</v>
      </c>
      <c r="D309" s="43">
        <f t="shared" si="17"/>
        <v>0.39180829548635215</v>
      </c>
      <c r="E309" s="43">
        <f t="shared" si="18"/>
        <v>0.16611201334990233</v>
      </c>
      <c r="F309" s="43">
        <f t="shared" si="19"/>
        <v>0.16209982609117465</v>
      </c>
    </row>
    <row r="310" spans="2:6" ht="14.4" x14ac:dyDescent="0.3">
      <c r="B310" s="36">
        <v>0.28599999999999998</v>
      </c>
      <c r="C310" s="43">
        <f t="shared" si="16"/>
        <v>9118.4954108211696</v>
      </c>
      <c r="D310" s="43">
        <f t="shared" si="17"/>
        <v>0.39170989918400945</v>
      </c>
      <c r="E310" s="43">
        <f t="shared" si="18"/>
        <v>0.16606421858742321</v>
      </c>
      <c r="F310" s="43">
        <f t="shared" si="19"/>
        <v>0.16204461409126097</v>
      </c>
    </row>
    <row r="311" spans="2:6" ht="14.4" x14ac:dyDescent="0.3">
      <c r="B311" s="36">
        <v>0.28699999999999998</v>
      </c>
      <c r="C311" s="43">
        <f t="shared" si="16"/>
        <v>9117.8970740085006</v>
      </c>
      <c r="D311" s="43">
        <f t="shared" si="17"/>
        <v>0.39161163694508738</v>
      </c>
      <c r="E311" s="43">
        <f t="shared" si="18"/>
        <v>0.16601645884081581</v>
      </c>
      <c r="F311" s="43">
        <f t="shared" si="19"/>
        <v>0.16198947633977356</v>
      </c>
    </row>
    <row r="312" spans="2:6" ht="14.4" x14ac:dyDescent="0.3">
      <c r="B312" s="36">
        <v>0.28799999999999998</v>
      </c>
      <c r="C312" s="43">
        <f t="shared" si="16"/>
        <v>9117.299451429597</v>
      </c>
      <c r="D312" s="43">
        <f t="shared" si="17"/>
        <v>0.39151350775182625</v>
      </c>
      <c r="E312" s="43">
        <f t="shared" si="18"/>
        <v>0.16596873373963986</v>
      </c>
      <c r="F312" s="43">
        <f t="shared" si="19"/>
        <v>0.16193441226993055</v>
      </c>
    </row>
    <row r="313" spans="2:6" ht="14.4" x14ac:dyDescent="0.3">
      <c r="B313" s="36">
        <v>0.28899999999999998</v>
      </c>
      <c r="C313" s="43">
        <f t="shared" si="16"/>
        <v>9116.702537352483</v>
      </c>
      <c r="D313" s="43">
        <f t="shared" si="17"/>
        <v>0.39141551059500979</v>
      </c>
      <c r="E313" s="43">
        <f t="shared" si="18"/>
        <v>0.16592104291609211</v>
      </c>
      <c r="F313" s="43">
        <f t="shared" si="19"/>
        <v>0.1618794213196921</v>
      </c>
    </row>
    <row r="314" spans="2:6" ht="14.4" x14ac:dyDescent="0.3">
      <c r="B314" s="36">
        <v>0.28999999999999998</v>
      </c>
      <c r="C314" s="43">
        <f t="shared" si="16"/>
        <v>9116.1063260915271</v>
      </c>
      <c r="D314" s="43">
        <f t="shared" si="17"/>
        <v>0.39131764447385192</v>
      </c>
      <c r="E314" s="43">
        <f t="shared" si="18"/>
        <v>0.16587338600497023</v>
      </c>
      <c r="F314" s="43">
        <f t="shared" si="19"/>
        <v>0.16182450293169756</v>
      </c>
    </row>
    <row r="315" spans="2:6" ht="14.4" x14ac:dyDescent="0.3">
      <c r="B315" s="36">
        <v>0.29099999999999998</v>
      </c>
      <c r="C315" s="43">
        <f t="shared" si="16"/>
        <v>9115.5108120068307</v>
      </c>
      <c r="D315" s="43">
        <f t="shared" si="17"/>
        <v>0.39121990839588627</v>
      </c>
      <c r="E315" s="43">
        <f t="shared" si="18"/>
        <v>0.16582576264363733</v>
      </c>
      <c r="F315" s="43">
        <f t="shared" si="19"/>
        <v>0.16176965655320402</v>
      </c>
    </row>
    <row r="316" spans="2:6" ht="14.4" x14ac:dyDescent="0.3">
      <c r="B316" s="36">
        <v>0.29199999999999998</v>
      </c>
      <c r="C316" s="43">
        <f t="shared" si="16"/>
        <v>9114.9159895036209</v>
      </c>
      <c r="D316" s="43">
        <f t="shared" si="17"/>
        <v>0.3911223013768565</v>
      </c>
      <c r="E316" s="43">
        <f t="shared" si="18"/>
        <v>0.16577817247198678</v>
      </c>
      <c r="F316" s="43">
        <f t="shared" si="19"/>
        <v>0.16171488163602554</v>
      </c>
    </row>
    <row r="317" spans="2:6" ht="14.4" x14ac:dyDescent="0.3">
      <c r="B317" s="36">
        <v>0.29299999999999998</v>
      </c>
      <c r="C317" s="43">
        <f t="shared" si="16"/>
        <v>9114.3218530316644</v>
      </c>
      <c r="D317" s="43">
        <f t="shared" si="17"/>
        <v>0.39102482244060915</v>
      </c>
      <c r="E317" s="43">
        <f t="shared" si="18"/>
        <v>0.16573061513240775</v>
      </c>
      <c r="F317" s="43">
        <f t="shared" si="19"/>
        <v>0.16166017763647358</v>
      </c>
    </row>
    <row r="318" spans="2:6" ht="14.4" x14ac:dyDescent="0.3">
      <c r="B318" s="36">
        <v>0.29399999999999998</v>
      </c>
      <c r="C318" s="43">
        <f t="shared" si="16"/>
        <v>9113.7283970846711</v>
      </c>
      <c r="D318" s="43">
        <f t="shared" si="17"/>
        <v>0.39092747061898758</v>
      </c>
      <c r="E318" s="43">
        <f t="shared" si="18"/>
        <v>0.16568309026975125</v>
      </c>
      <c r="F318" s="43">
        <f t="shared" si="19"/>
        <v>0.16160554401529806</v>
      </c>
    </row>
    <row r="319" spans="2:6" ht="14.4" x14ac:dyDescent="0.3">
      <c r="B319" s="36">
        <v>0.29499999999999998</v>
      </c>
      <c r="C319" s="43">
        <f t="shared" si="16"/>
        <v>9113.1356161997282</v>
      </c>
      <c r="D319" s="43">
        <f t="shared" si="17"/>
        <v>0.39083024495172786</v>
      </c>
      <c r="E319" s="43">
        <f t="shared" si="18"/>
        <v>0.16563559753129653</v>
      </c>
      <c r="F319" s="43">
        <f t="shared" si="19"/>
        <v>0.16155098023762959</v>
      </c>
    </row>
    <row r="320" spans="2:6" ht="14.4" x14ac:dyDescent="0.3">
      <c r="B320" s="36">
        <v>0.29599999999999999</v>
      </c>
      <c r="C320" s="43">
        <f t="shared" si="16"/>
        <v>9112.5435049567241</v>
      </c>
      <c r="D320" s="43">
        <f t="shared" si="17"/>
        <v>0.39073314448635632</v>
      </c>
      <c r="E320" s="43">
        <f t="shared" si="18"/>
        <v>0.16558813656671811</v>
      </c>
      <c r="F320" s="43">
        <f t="shared" si="19"/>
        <v>0.16149648577292253</v>
      </c>
    </row>
    <row r="321" spans="2:6" ht="14.4" x14ac:dyDescent="0.3">
      <c r="B321" s="36">
        <v>0.29699999999999999</v>
      </c>
      <c r="C321" s="43">
        <f t="shared" si="16"/>
        <v>9111.9520579777964</v>
      </c>
      <c r="D321" s="43">
        <f t="shared" si="17"/>
        <v>0.39063616827808845</v>
      </c>
      <c r="E321" s="43">
        <f t="shared" si="18"/>
        <v>0.1655407070280534</v>
      </c>
      <c r="F321" s="43">
        <f t="shared" si="19"/>
        <v>0.16144206009489892</v>
      </c>
    </row>
    <row r="322" spans="2:6" ht="14.4" x14ac:dyDescent="0.3">
      <c r="B322" s="36">
        <v>0.29799999999999999</v>
      </c>
      <c r="C322" s="43">
        <f t="shared" si="16"/>
        <v>9111.3612699267796</v>
      </c>
      <c r="D322" s="43">
        <f t="shared" si="17"/>
        <v>0.39053931538972952</v>
      </c>
      <c r="E322" s="43">
        <f t="shared" si="18"/>
        <v>0.16549330856967034</v>
      </c>
      <c r="F322" s="43">
        <f t="shared" si="19"/>
        <v>0.16138770268149316</v>
      </c>
    </row>
    <row r="323" spans="2:6" ht="14.4" x14ac:dyDescent="0.3">
      <c r="B323" s="36">
        <v>0.29899999999999999</v>
      </c>
      <c r="C323" s="43">
        <f t="shared" si="16"/>
        <v>9110.7711355086576</v>
      </c>
      <c r="D323" s="43">
        <f t="shared" si="17"/>
        <v>0.39044258489157663</v>
      </c>
      <c r="E323" s="43">
        <f t="shared" si="18"/>
        <v>0.16544594084823613</v>
      </c>
      <c r="F323" s="43">
        <f t="shared" si="19"/>
        <v>0.16133341301479776</v>
      </c>
    </row>
    <row r="324" spans="2:6" ht="14.4" x14ac:dyDescent="0.3">
      <c r="B324" s="36">
        <v>0.3</v>
      </c>
      <c r="C324" s="43">
        <f t="shared" si="16"/>
        <v>9110.1816494690411</v>
      </c>
      <c r="D324" s="43">
        <f t="shared" si="17"/>
        <v>0.39034597586132247</v>
      </c>
      <c r="E324" s="43">
        <f t="shared" si="18"/>
        <v>0.16539860352268598</v>
      </c>
      <c r="F324" s="43">
        <f t="shared" si="19"/>
        <v>0.16127919058100973</v>
      </c>
    </row>
    <row r="325" spans="2:6" ht="14.4" x14ac:dyDescent="0.3">
      <c r="B325" s="36">
        <v>0.30099999999999999</v>
      </c>
      <c r="C325" s="43">
        <f t="shared" si="16"/>
        <v>9109.5928065936332</v>
      </c>
      <c r="D325" s="43">
        <f t="shared" si="17"/>
        <v>0.39024948738396026</v>
      </c>
      <c r="E325" s="43">
        <f t="shared" si="18"/>
        <v>0.16535129625419237</v>
      </c>
      <c r="F325" s="43">
        <f t="shared" si="19"/>
        <v>0.16122503487037787</v>
      </c>
    </row>
    <row r="326" spans="2:6" ht="14.4" x14ac:dyDescent="0.3">
      <c r="B326" s="36">
        <v>0.30199999999999999</v>
      </c>
      <c r="C326" s="43">
        <f t="shared" si="16"/>
        <v>9109.0046017077148</v>
      </c>
      <c r="D326" s="43">
        <f t="shared" si="17"/>
        <v>0.39015311855169021</v>
      </c>
      <c r="E326" s="43">
        <f t="shared" si="18"/>
        <v>0.16530401870613498</v>
      </c>
      <c r="F326" s="43">
        <f t="shared" si="19"/>
        <v>0.1611709453771509</v>
      </c>
    </row>
    <row r="327" spans="2:6" ht="14.4" x14ac:dyDescent="0.3">
      <c r="B327" s="36">
        <v>0.30299999999999999</v>
      </c>
      <c r="C327" s="43">
        <f t="shared" si="16"/>
        <v>9108.4170296756347</v>
      </c>
      <c r="D327" s="43">
        <f t="shared" si="17"/>
        <v>0.3900568684638277</v>
      </c>
      <c r="E327" s="43">
        <f t="shared" si="18"/>
        <v>0.16525677054407079</v>
      </c>
      <c r="F327" s="43">
        <f t="shared" si="19"/>
        <v>0.16111692159952617</v>
      </c>
    </row>
    <row r="328" spans="2:6" ht="14.4" x14ac:dyDescent="0.3">
      <c r="B328" s="36">
        <v>0.30399999999999999</v>
      </c>
      <c r="C328" s="43">
        <f t="shared" si="16"/>
        <v>9107.8300854003028</v>
      </c>
      <c r="D328" s="43">
        <f t="shared" si="17"/>
        <v>0.38996073622671229</v>
      </c>
      <c r="E328" s="43">
        <f t="shared" si="18"/>
        <v>0.16520955143570459</v>
      </c>
      <c r="F328" s="43">
        <f t="shared" si="19"/>
        <v>0.16106296303959944</v>
      </c>
    </row>
    <row r="329" spans="2:6" ht="14.4" x14ac:dyDescent="0.3">
      <c r="B329" s="36">
        <v>0.30499999999999999</v>
      </c>
      <c r="C329" s="43">
        <f t="shared" si="16"/>
        <v>9107.2437638227075</v>
      </c>
      <c r="D329" s="43">
        <f t="shared" si="17"/>
        <v>0.38986472095361868</v>
      </c>
      <c r="E329" s="43">
        <f t="shared" si="18"/>
        <v>0.16516236105086035</v>
      </c>
      <c r="F329" s="43">
        <f t="shared" si="19"/>
        <v>0.16100906920331526</v>
      </c>
    </row>
    <row r="330" spans="2:6" ht="14.4" x14ac:dyDescent="0.3">
      <c r="B330" s="36">
        <v>0.30599999999999999</v>
      </c>
      <c r="C330" s="43">
        <f t="shared" si="16"/>
        <v>9106.658059921414</v>
      </c>
      <c r="D330" s="43">
        <f t="shared" si="17"/>
        <v>0.38976882176466832</v>
      </c>
      <c r="E330" s="43">
        <f t="shared" si="18"/>
        <v>0.16511519906145233</v>
      </c>
      <c r="F330" s="43">
        <f t="shared" si="19"/>
        <v>0.16095523960041791</v>
      </c>
    </row>
    <row r="331" spans="2:6" ht="14.4" x14ac:dyDescent="0.3">
      <c r="B331" s="36">
        <v>0.307</v>
      </c>
      <c r="C331" s="43">
        <f t="shared" si="16"/>
        <v>9106.0729687120893</v>
      </c>
      <c r="D331" s="43">
        <f t="shared" si="17"/>
        <v>0.38967303778674311</v>
      </c>
      <c r="E331" s="43">
        <f t="shared" si="18"/>
        <v>0.16506806514145711</v>
      </c>
      <c r="F331" s="43">
        <f t="shared" si="19"/>
        <v>0.16090147374440347</v>
      </c>
    </row>
    <row r="332" spans="2:6" ht="14.4" x14ac:dyDescent="0.3">
      <c r="B332" s="36">
        <v>0.308</v>
      </c>
      <c r="C332" s="43">
        <f t="shared" si="16"/>
        <v>9105.4884852470295</v>
      </c>
      <c r="D332" s="43">
        <f t="shared" si="17"/>
        <v>0.38957736815339999</v>
      </c>
      <c r="E332" s="43">
        <f t="shared" si="18"/>
        <v>0.16502095896688579</v>
      </c>
      <c r="F332" s="43">
        <f t="shared" si="19"/>
        <v>0.16084777115247229</v>
      </c>
    </row>
    <row r="333" spans="2:6" ht="14.4" x14ac:dyDescent="0.3">
      <c r="B333" s="36">
        <v>0.309</v>
      </c>
      <c r="C333" s="43">
        <f t="shared" si="16"/>
        <v>9104.9046046146977</v>
      </c>
      <c r="D333" s="43">
        <f t="shared" si="17"/>
        <v>0.38948181200478649</v>
      </c>
      <c r="E333" s="43">
        <f t="shared" si="18"/>
        <v>0.1649738802157566</v>
      </c>
      <c r="F333" s="43">
        <f t="shared" si="19"/>
        <v>0.16079413134548218</v>
      </c>
    </row>
    <row r="334" spans="2:6" ht="14.4" x14ac:dyDescent="0.3">
      <c r="B334" s="36">
        <v>0.31</v>
      </c>
      <c r="C334" s="43">
        <f t="shared" si="16"/>
        <v>9104.3213219392528</v>
      </c>
      <c r="D334" s="43">
        <f t="shared" si="17"/>
        <v>0.38938636848755814</v>
      </c>
      <c r="E334" s="43">
        <f t="shared" si="18"/>
        <v>0.16492682856806795</v>
      </c>
      <c r="F334" s="43">
        <f t="shared" si="19"/>
        <v>0.16074055384790248</v>
      </c>
    </row>
    <row r="335" spans="2:6" ht="14.4" x14ac:dyDescent="0.3">
      <c r="B335" s="36">
        <v>0.311</v>
      </c>
      <c r="C335" s="43">
        <f t="shared" si="16"/>
        <v>9103.7386323801093</v>
      </c>
      <c r="D335" s="43">
        <f t="shared" si="17"/>
        <v>0.38929103675479654</v>
      </c>
      <c r="E335" s="43">
        <f t="shared" si="18"/>
        <v>0.16487980370577185</v>
      </c>
      <c r="F335" s="43">
        <f t="shared" si="19"/>
        <v>0.16068703818776864</v>
      </c>
    </row>
    <row r="336" spans="2:6" ht="14.4" x14ac:dyDescent="0.3">
      <c r="B336" s="36">
        <v>0.312</v>
      </c>
      <c r="C336" s="43">
        <f t="shared" si="16"/>
        <v>9103.1565311314789</v>
      </c>
      <c r="D336" s="43">
        <f t="shared" si="17"/>
        <v>0.38919581596592906</v>
      </c>
      <c r="E336" s="43">
        <f t="shared" si="18"/>
        <v>0.16483280531274747</v>
      </c>
      <c r="F336" s="43">
        <f t="shared" si="19"/>
        <v>0.16063358389663746</v>
      </c>
    </row>
    <row r="337" spans="2:6" ht="14.4" x14ac:dyDescent="0.3">
      <c r="B337" s="36">
        <v>0.313</v>
      </c>
      <c r="C337" s="43">
        <f t="shared" si="16"/>
        <v>9102.5750134219415</v>
      </c>
      <c r="D337" s="43">
        <f t="shared" si="17"/>
        <v>0.38910070528664953</v>
      </c>
      <c r="E337" s="43">
        <f t="shared" si="18"/>
        <v>0.16478583307477546</v>
      </c>
      <c r="F337" s="43">
        <f t="shared" si="19"/>
        <v>0.16058019050954303</v>
      </c>
    </row>
    <row r="338" spans="2:6" ht="14.4" x14ac:dyDescent="0.3">
      <c r="B338" s="36">
        <v>0.314</v>
      </c>
      <c r="C338" s="43">
        <f t="shared" si="16"/>
        <v>9101.9940745140029</v>
      </c>
      <c r="D338" s="43">
        <f t="shared" si="17"/>
        <v>0.38900570388883987</v>
      </c>
      <c r="E338" s="43">
        <f t="shared" si="18"/>
        <v>0.16473888667951231</v>
      </c>
      <c r="F338" s="43">
        <f t="shared" si="19"/>
        <v>0.16052685756495347</v>
      </c>
    </row>
    <row r="339" spans="2:6" ht="14.4" x14ac:dyDescent="0.3">
      <c r="B339" s="36">
        <v>0.315</v>
      </c>
      <c r="C339" s="43">
        <f t="shared" si="16"/>
        <v>9101.4137097036728</v>
      </c>
      <c r="D339" s="43">
        <f t="shared" si="17"/>
        <v>0.38891081095049329</v>
      </c>
      <c r="E339" s="43">
        <f t="shared" si="18"/>
        <v>0.16469196581646511</v>
      </c>
      <c r="F339" s="43">
        <f t="shared" si="19"/>
        <v>0.16047358460472785</v>
      </c>
    </row>
    <row r="340" spans="2:6" ht="14.4" x14ac:dyDescent="0.3">
      <c r="B340" s="36">
        <v>0.316</v>
      </c>
      <c r="C340" s="43">
        <f t="shared" si="16"/>
        <v>9100.8339143200392</v>
      </c>
      <c r="D340" s="43">
        <f t="shared" si="17"/>
        <v>0.38881602565563822</v>
      </c>
      <c r="E340" s="43">
        <f t="shared" si="18"/>
        <v>0.16464507017696681</v>
      </c>
      <c r="F340" s="43">
        <f t="shared" si="19"/>
        <v>0.16042037117407421</v>
      </c>
    </row>
    <row r="341" spans="2:6" ht="14.4" x14ac:dyDescent="0.3">
      <c r="B341" s="36">
        <v>0.317</v>
      </c>
      <c r="C341" s="43">
        <f t="shared" si="16"/>
        <v>9100.2546837248537</v>
      </c>
      <c r="D341" s="43">
        <f t="shared" si="17"/>
        <v>0.38872134719426338</v>
      </c>
      <c r="E341" s="43">
        <f t="shared" si="18"/>
        <v>0.16459819945415152</v>
      </c>
      <c r="F341" s="43">
        <f t="shared" si="19"/>
        <v>0.16036721682150787</v>
      </c>
    </row>
    <row r="342" spans="2:6" ht="14.4" x14ac:dyDescent="0.3">
      <c r="B342" s="36">
        <v>0.318</v>
      </c>
      <c r="C342" s="43">
        <f t="shared" si="16"/>
        <v>9099.6760133121243</v>
      </c>
      <c r="D342" s="43">
        <f t="shared" si="17"/>
        <v>0.38862677476224422</v>
      </c>
      <c r="E342" s="43">
        <f t="shared" si="18"/>
        <v>0.16455135334293047</v>
      </c>
      <c r="F342" s="43">
        <f t="shared" si="19"/>
        <v>0.16031412109881049</v>
      </c>
    </row>
    <row r="343" spans="2:6" ht="14.4" x14ac:dyDescent="0.3">
      <c r="B343" s="36">
        <v>0.31900000000000001</v>
      </c>
      <c r="C343" s="43">
        <f t="shared" si="16"/>
        <v>9099.097898507709</v>
      </c>
      <c r="D343" s="43">
        <f t="shared" si="17"/>
        <v>0.38853230756127011</v>
      </c>
      <c r="E343" s="43">
        <f t="shared" si="18"/>
        <v>0.16450453153996802</v>
      </c>
      <c r="F343" s="43">
        <f t="shared" si="19"/>
        <v>0.16026108356098978</v>
      </c>
    </row>
    <row r="344" spans="2:6" ht="14.4" x14ac:dyDescent="0.3">
      <c r="B344" s="36">
        <v>0.32</v>
      </c>
      <c r="C344" s="43">
        <f t="shared" si="16"/>
        <v>9098.5203347689221</v>
      </c>
      <c r="D344" s="43">
        <f t="shared" si="17"/>
        <v>0.38843794479877247</v>
      </c>
      <c r="E344" s="43">
        <f t="shared" si="18"/>
        <v>0.16445773374365824</v>
      </c>
      <c r="F344" s="43">
        <f t="shared" si="19"/>
        <v>0.16020810376623931</v>
      </c>
    </row>
    <row r="345" spans="2:6" ht="14.4" x14ac:dyDescent="0.3">
      <c r="B345" s="36">
        <v>0.32100000000000001</v>
      </c>
      <c r="C345" s="43">
        <f t="shared" ref="C345:C408" si="20">_xlfn.BETA.INV((1-B345),$C$7,$C$8)*($C$5-$C$3)+$C$3</f>
        <v>9097.9433175841295</v>
      </c>
      <c r="D345" s="43">
        <f t="shared" ref="D345:D408" si="21">_xlfn.BETA.INV((1-B345),$D$7,$D$8)*($D$5-$D$3)+$D$3</f>
        <v>0.38834368568785443</v>
      </c>
      <c r="E345" s="43">
        <f t="shared" ref="E345:E408" si="22">_xlfn.BETA.INV((1-B345),$E$7,$E$8)*($E$5-$E$3)+$E$3</f>
        <v>0.16441095965410141</v>
      </c>
      <c r="F345" s="43">
        <f t="shared" ref="F345:F408" si="23">_xlfn.BETA.INV((1-B345),$F$7,$F$8)*($F$5-$F$3)+$F$3</f>
        <v>0.16015518127589962</v>
      </c>
    </row>
    <row r="346" spans="2:6" ht="14.4" x14ac:dyDescent="0.3">
      <c r="B346" s="36">
        <v>0.32200000000000001</v>
      </c>
      <c r="C346" s="43">
        <f t="shared" si="20"/>
        <v>9097.3668424723764</v>
      </c>
      <c r="D346" s="43">
        <f t="shared" si="21"/>
        <v>0.38824952944722069</v>
      </c>
      <c r="E346" s="43">
        <f t="shared" si="22"/>
        <v>0.16436420897308129</v>
      </c>
      <c r="F346" s="43">
        <f t="shared" si="23"/>
        <v>0.16010231565441929</v>
      </c>
    </row>
    <row r="347" spans="2:6" ht="14.4" x14ac:dyDescent="0.3">
      <c r="B347" s="36">
        <v>0.32300000000000001</v>
      </c>
      <c r="C347" s="43">
        <f t="shared" si="20"/>
        <v>9096.7909049829959</v>
      </c>
      <c r="D347" s="43">
        <f t="shared" si="21"/>
        <v>0.38815547530110928</v>
      </c>
      <c r="E347" s="43">
        <f t="shared" si="22"/>
        <v>0.16431748140404245</v>
      </c>
      <c r="F347" s="43">
        <f t="shared" si="23"/>
        <v>0.16004950646931679</v>
      </c>
    </row>
    <row r="348" spans="2:6" ht="14.4" x14ac:dyDescent="0.3">
      <c r="B348" s="36">
        <v>0.32400000000000001</v>
      </c>
      <c r="C348" s="43">
        <f t="shared" si="20"/>
        <v>9096.2155006952344</v>
      </c>
      <c r="D348" s="43">
        <f t="shared" si="21"/>
        <v>0.38806152247922343</v>
      </c>
      <c r="E348" s="43">
        <f t="shared" si="22"/>
        <v>0.16427077665206763</v>
      </c>
      <c r="F348" s="43">
        <f t="shared" si="23"/>
        <v>0.15999675329114288</v>
      </c>
    </row>
    <row r="349" spans="2:6" ht="14.4" x14ac:dyDescent="0.3">
      <c r="B349" s="36">
        <v>0.32500000000000001</v>
      </c>
      <c r="C349" s="43">
        <f t="shared" si="20"/>
        <v>9095.6406252178786</v>
      </c>
      <c r="D349" s="43">
        <f t="shared" si="21"/>
        <v>0.38796767021666489</v>
      </c>
      <c r="E349" s="43">
        <f t="shared" si="22"/>
        <v>0.1642240944238561</v>
      </c>
      <c r="F349" s="43">
        <f t="shared" si="23"/>
        <v>0.15994405569344336</v>
      </c>
    </row>
    <row r="350" spans="2:6" ht="14.4" x14ac:dyDescent="0.3">
      <c r="B350" s="36">
        <v>0.32600000000000001</v>
      </c>
      <c r="C350" s="43">
        <f t="shared" si="20"/>
        <v>9095.0662741888955</v>
      </c>
      <c r="D350" s="43">
        <f t="shared" si="21"/>
        <v>0.38787391775386804</v>
      </c>
      <c r="E350" s="43">
        <f t="shared" si="22"/>
        <v>0.16417743442770152</v>
      </c>
      <c r="F350" s="43">
        <f t="shared" si="23"/>
        <v>0.1598914132527226</v>
      </c>
    </row>
    <row r="351" spans="2:6" ht="14.4" x14ac:dyDescent="0.3">
      <c r="B351" s="36">
        <v>0.32700000000000001</v>
      </c>
      <c r="C351" s="43">
        <f t="shared" si="20"/>
        <v>9094.4924432750613</v>
      </c>
      <c r="D351" s="43">
        <f t="shared" si="21"/>
        <v>0.38778026433653506</v>
      </c>
      <c r="E351" s="43">
        <f t="shared" si="22"/>
        <v>0.16413079637347061</v>
      </c>
      <c r="F351" s="43">
        <f t="shared" si="23"/>
        <v>0.15983882554840737</v>
      </c>
    </row>
    <row r="352" spans="2:6" ht="14.4" x14ac:dyDescent="0.3">
      <c r="B352" s="36">
        <v>0.32800000000000001</v>
      </c>
      <c r="C352" s="43">
        <f t="shared" si="20"/>
        <v>9093.9191281716085</v>
      </c>
      <c r="D352" s="43">
        <f t="shared" si="21"/>
        <v>0.38768670921557136</v>
      </c>
      <c r="E352" s="43">
        <f t="shared" si="22"/>
        <v>0.16408417997258179</v>
      </c>
      <c r="F352" s="43">
        <f t="shared" si="23"/>
        <v>0.15978629216281115</v>
      </c>
    </row>
    <row r="353" spans="2:6" ht="14.4" x14ac:dyDescent="0.3">
      <c r="B353" s="36">
        <v>0.32900000000000001</v>
      </c>
      <c r="C353" s="43">
        <f t="shared" si="20"/>
        <v>9093.3463246018819</v>
      </c>
      <c r="D353" s="43">
        <f t="shared" si="21"/>
        <v>0.38759325164702302</v>
      </c>
      <c r="E353" s="43">
        <f t="shared" si="22"/>
        <v>0.16403758493798434</v>
      </c>
      <c r="F353" s="43">
        <f t="shared" si="23"/>
        <v>0.15973381268109912</v>
      </c>
    </row>
    <row r="354" spans="2:6" ht="14.4" x14ac:dyDescent="0.3">
      <c r="B354" s="36">
        <v>0.33</v>
      </c>
      <c r="C354" s="43">
        <f t="shared" si="20"/>
        <v>9092.7740283169769</v>
      </c>
      <c r="D354" s="43">
        <f t="shared" si="21"/>
        <v>0.38749989089201375</v>
      </c>
      <c r="E354" s="43">
        <f t="shared" si="22"/>
        <v>0.16399101098413749</v>
      </c>
      <c r="F354" s="43">
        <f t="shared" si="23"/>
        <v>0.15968138669125337</v>
      </c>
    </row>
    <row r="355" spans="2:6" ht="14.4" x14ac:dyDescent="0.3">
      <c r="B355" s="36">
        <v>0.33100000000000002</v>
      </c>
      <c r="C355" s="43">
        <f t="shared" si="20"/>
        <v>9092.2022350954066</v>
      </c>
      <c r="D355" s="43">
        <f t="shared" si="21"/>
        <v>0.38740662621668409</v>
      </c>
      <c r="E355" s="43">
        <f t="shared" si="22"/>
        <v>0.16394445782699016</v>
      </c>
      <c r="F355" s="43">
        <f t="shared" si="23"/>
        <v>0.15962901378403893</v>
      </c>
    </row>
    <row r="356" spans="2:6" ht="14.4" x14ac:dyDescent="0.3">
      <c r="B356" s="36">
        <v>0.33200000000000002</v>
      </c>
      <c r="C356" s="43">
        <f t="shared" si="20"/>
        <v>9091.6309407427652</v>
      </c>
      <c r="D356" s="43">
        <f t="shared" si="21"/>
        <v>0.38731345689212998</v>
      </c>
      <c r="E356" s="43">
        <f t="shared" si="22"/>
        <v>0.16389792518396068</v>
      </c>
      <c r="F356" s="43">
        <f t="shared" si="23"/>
        <v>0.15957669355296972</v>
      </c>
    </row>
    <row r="357" spans="2:6" ht="14.4" x14ac:dyDescent="0.3">
      <c r="B357" s="36">
        <v>0.33300000000000002</v>
      </c>
      <c r="C357" s="43">
        <f t="shared" si="20"/>
        <v>9091.0601410913878</v>
      </c>
      <c r="D357" s="43">
        <f t="shared" si="21"/>
        <v>0.38722038219434363</v>
      </c>
      <c r="E357" s="43">
        <f t="shared" si="22"/>
        <v>0.16385141277391685</v>
      </c>
      <c r="F357" s="43">
        <f t="shared" si="23"/>
        <v>0.15952442559427565</v>
      </c>
    </row>
    <row r="358" spans="2:6" ht="14.4" x14ac:dyDescent="0.3">
      <c r="B358" s="36">
        <v>0.33400000000000002</v>
      </c>
      <c r="C358" s="43">
        <f t="shared" si="20"/>
        <v>9090.4898320000229</v>
      </c>
      <c r="D358" s="43">
        <f t="shared" si="21"/>
        <v>0.3871274014041538</v>
      </c>
      <c r="E358" s="43">
        <f t="shared" si="22"/>
        <v>0.16380492031715621</v>
      </c>
      <c r="F358" s="43">
        <f t="shared" si="23"/>
        <v>0.15947220950686952</v>
      </c>
    </row>
    <row r="359" spans="2:6" ht="14.4" x14ac:dyDescent="0.3">
      <c r="B359" s="36">
        <v>0.33500000000000002</v>
      </c>
      <c r="C359" s="43">
        <f t="shared" si="20"/>
        <v>9089.9200093535146</v>
      </c>
      <c r="D359" s="43">
        <f t="shared" si="21"/>
        <v>0.38703451380716813</v>
      </c>
      <c r="E359" s="43">
        <f t="shared" si="22"/>
        <v>0.16375844753538651</v>
      </c>
      <c r="F359" s="43">
        <f t="shared" si="23"/>
        <v>0.15942004489231476</v>
      </c>
    </row>
    <row r="360" spans="2:6" ht="14.4" x14ac:dyDescent="0.3">
      <c r="B360" s="36">
        <v>0.33600000000000002</v>
      </c>
      <c r="C360" s="43">
        <f t="shared" si="20"/>
        <v>9089.3506690624727</v>
      </c>
      <c r="D360" s="43">
        <f t="shared" si="21"/>
        <v>0.38694171869371513</v>
      </c>
      <c r="E360" s="43">
        <f t="shared" si="22"/>
        <v>0.16371199415170662</v>
      </c>
      <c r="F360" s="43">
        <f t="shared" si="23"/>
        <v>0.15936793135479335</v>
      </c>
    </row>
    <row r="361" spans="2:6" ht="14.4" x14ac:dyDescent="0.3">
      <c r="B361" s="36">
        <v>0.33700000000000002</v>
      </c>
      <c r="C361" s="43">
        <f t="shared" si="20"/>
        <v>9088.7818070629619</v>
      </c>
      <c r="D361" s="43">
        <f t="shared" si="21"/>
        <v>0.3868490153587878</v>
      </c>
      <c r="E361" s="43">
        <f t="shared" si="22"/>
        <v>0.16366555989058754</v>
      </c>
      <c r="F361" s="43">
        <f t="shared" si="23"/>
        <v>0.15931586850107454</v>
      </c>
    </row>
    <row r="362" spans="2:6" ht="14.4" x14ac:dyDescent="0.3">
      <c r="B362" s="36">
        <v>0.33800000000000002</v>
      </c>
      <c r="C362" s="43">
        <f t="shared" si="20"/>
        <v>9088.2134193161874</v>
      </c>
      <c r="D362" s="43">
        <f t="shared" si="21"/>
        <v>0.38675640310198733</v>
      </c>
      <c r="E362" s="43">
        <f t="shared" si="22"/>
        <v>0.16361914447785333</v>
      </c>
      <c r="F362" s="43">
        <f t="shared" si="23"/>
        <v>0.15926385594048342</v>
      </c>
    </row>
    <row r="363" spans="2:6" ht="14.4" x14ac:dyDescent="0.3">
      <c r="B363" s="36">
        <v>0.33900000000000002</v>
      </c>
      <c r="C363" s="43">
        <f t="shared" si="20"/>
        <v>9087.6455018081851</v>
      </c>
      <c r="D363" s="43">
        <f t="shared" si="21"/>
        <v>0.38666388122746842</v>
      </c>
      <c r="E363" s="43">
        <f t="shared" si="22"/>
        <v>0.16357274764066304</v>
      </c>
      <c r="F363" s="43">
        <f t="shared" si="23"/>
        <v>0.15921189328487045</v>
      </c>
    </row>
    <row r="364" spans="2:6" ht="14.4" x14ac:dyDescent="0.3">
      <c r="B364" s="36">
        <v>0.34</v>
      </c>
      <c r="C364" s="43">
        <f t="shared" si="20"/>
        <v>9087.0780505495259</v>
      </c>
      <c r="D364" s="43">
        <f t="shared" si="21"/>
        <v>0.38657144904388396</v>
      </c>
      <c r="E364" s="43">
        <f t="shared" si="22"/>
        <v>0.16352636910749188</v>
      </c>
      <c r="F364" s="43">
        <f t="shared" si="23"/>
        <v>0.15915998014858099</v>
      </c>
    </row>
    <row r="365" spans="2:6" ht="14.4" x14ac:dyDescent="0.3">
      <c r="B365" s="36">
        <v>0.34100000000000003</v>
      </c>
      <c r="C365" s="43">
        <f t="shared" si="20"/>
        <v>9086.5110615750036</v>
      </c>
      <c r="D365" s="43">
        <f t="shared" si="21"/>
        <v>0.38647910586433182</v>
      </c>
      <c r="E365" s="43">
        <f t="shared" si="22"/>
        <v>0.16348000860811351</v>
      </c>
      <c r="F365" s="43">
        <f t="shared" si="23"/>
        <v>0.15910811614842552</v>
      </c>
    </row>
    <row r="366" spans="2:6" ht="14.4" x14ac:dyDescent="0.3">
      <c r="B366" s="36">
        <v>0.34200000000000003</v>
      </c>
      <c r="C366" s="43">
        <f t="shared" si="20"/>
        <v>9085.9445309433449</v>
      </c>
      <c r="D366" s="43">
        <f t="shared" si="21"/>
        <v>0.38638685100630143</v>
      </c>
      <c r="E366" s="43">
        <f t="shared" si="22"/>
        <v>0.16343366587358191</v>
      </c>
      <c r="F366" s="43">
        <f t="shared" si="23"/>
        <v>0.15905630090364994</v>
      </c>
    </row>
    <row r="367" spans="2:6" ht="14.4" x14ac:dyDescent="0.3">
      <c r="B367" s="36">
        <v>0.34300000000000003</v>
      </c>
      <c r="C367" s="43">
        <f t="shared" si="20"/>
        <v>9085.378454736916</v>
      </c>
      <c r="D367" s="43">
        <f t="shared" si="21"/>
        <v>0.38629468379162168</v>
      </c>
      <c r="E367" s="43">
        <f t="shared" si="22"/>
        <v>0.1633873406362138</v>
      </c>
      <c r="F367" s="43">
        <f t="shared" si="23"/>
        <v>0.15900453403590661</v>
      </c>
    </row>
    <row r="368" spans="2:6" ht="14.4" x14ac:dyDescent="0.3">
      <c r="B368" s="36">
        <v>0.34399999999999997</v>
      </c>
      <c r="C368" s="43">
        <f t="shared" si="20"/>
        <v>9084.8128290614313</v>
      </c>
      <c r="D368" s="43">
        <f t="shared" si="21"/>
        <v>0.38620260354640873</v>
      </c>
      <c r="E368" s="43">
        <f t="shared" si="22"/>
        <v>0.16334103262957103</v>
      </c>
      <c r="F368" s="43">
        <f t="shared" si="23"/>
        <v>0.15895281516922549</v>
      </c>
    </row>
    <row r="369" spans="2:6" ht="14.4" x14ac:dyDescent="0.3">
      <c r="B369" s="36">
        <v>0.34499999999999997</v>
      </c>
      <c r="C369" s="43">
        <f t="shared" si="20"/>
        <v>9084.2476500456705</v>
      </c>
      <c r="D369" s="43">
        <f t="shared" si="21"/>
        <v>0.38611060960101518</v>
      </c>
      <c r="E369" s="43">
        <f t="shared" si="22"/>
        <v>0.16329474158844343</v>
      </c>
      <c r="F369" s="43">
        <f t="shared" si="23"/>
        <v>0.15890114392998567</v>
      </c>
    </row>
    <row r="370" spans="2:6" ht="14.4" x14ac:dyDescent="0.3">
      <c r="B370" s="36">
        <v>0.34599999999999997</v>
      </c>
      <c r="C370" s="43">
        <f t="shared" si="20"/>
        <v>9083.6829138411977</v>
      </c>
      <c r="D370" s="43">
        <f t="shared" si="21"/>
        <v>0.38601870128997956</v>
      </c>
      <c r="E370" s="43">
        <f t="shared" si="22"/>
        <v>0.16324846724883163</v>
      </c>
      <c r="F370" s="43">
        <f t="shared" si="23"/>
        <v>0.15884951994688754</v>
      </c>
    </row>
    <row r="371" spans="2:6" ht="14.4" x14ac:dyDescent="0.3">
      <c r="B371" s="36">
        <v>0.34699999999999998</v>
      </c>
      <c r="C371" s="43">
        <f t="shared" si="20"/>
        <v>9083.1186166220778</v>
      </c>
      <c r="D371" s="43">
        <f t="shared" si="21"/>
        <v>0.38592687795197661</v>
      </c>
      <c r="E371" s="43">
        <f t="shared" si="22"/>
        <v>0.1632022093479302</v>
      </c>
      <c r="F371" s="43">
        <f t="shared" si="23"/>
        <v>0.15879794285092474</v>
      </c>
    </row>
    <row r="372" spans="2:6" ht="14.4" x14ac:dyDescent="0.3">
      <c r="B372" s="36">
        <v>0.34799999999999998</v>
      </c>
      <c r="C372" s="43">
        <f t="shared" si="20"/>
        <v>9082.5547545846075</v>
      </c>
      <c r="D372" s="43">
        <f t="shared" si="21"/>
        <v>0.38583513892976806</v>
      </c>
      <c r="E372" s="43">
        <f t="shared" si="22"/>
        <v>0.16315596762411097</v>
      </c>
      <c r="F372" s="43">
        <f t="shared" si="23"/>
        <v>0.15874641227535724</v>
      </c>
    </row>
    <row r="373" spans="2:6" ht="14.4" x14ac:dyDescent="0.3">
      <c r="B373" s="36">
        <v>0.34899999999999998</v>
      </c>
      <c r="C373" s="43">
        <f t="shared" si="20"/>
        <v>9081.9913239470388</v>
      </c>
      <c r="D373" s="43">
        <f t="shared" si="21"/>
        <v>0.38574348357015398</v>
      </c>
      <c r="E373" s="43">
        <f t="shared" si="22"/>
        <v>0.16310974181690646</v>
      </c>
      <c r="F373" s="43">
        <f t="shared" si="23"/>
        <v>0.15869492785568406</v>
      </c>
    </row>
    <row r="374" spans="2:6" ht="14.4" x14ac:dyDescent="0.3">
      <c r="B374" s="36">
        <v>0.35</v>
      </c>
      <c r="C374" s="43">
        <f t="shared" si="20"/>
        <v>9081.4283209493133</v>
      </c>
      <c r="D374" s="43">
        <f t="shared" si="21"/>
        <v>0.38565191122392506</v>
      </c>
      <c r="E374" s="43">
        <f t="shared" si="22"/>
        <v>0.16306353166699356</v>
      </c>
      <c r="F374" s="43">
        <f t="shared" si="23"/>
        <v>0.1586434892296168</v>
      </c>
    </row>
    <row r="375" spans="2:6" ht="14.4" x14ac:dyDescent="0.3">
      <c r="B375" s="36">
        <v>0.35099999999999998</v>
      </c>
      <c r="C375" s="43">
        <f t="shared" si="20"/>
        <v>9080.8657418527982</v>
      </c>
      <c r="D375" s="43">
        <f t="shared" si="21"/>
        <v>0.38556042124581513</v>
      </c>
      <c r="E375" s="43">
        <f t="shared" si="22"/>
        <v>0.16301733691617742</v>
      </c>
      <c r="F375" s="43">
        <f t="shared" si="23"/>
        <v>0.15859209603705304</v>
      </c>
    </row>
    <row r="376" spans="2:6" ht="14.4" x14ac:dyDescent="0.3">
      <c r="B376" s="36">
        <v>0.35199999999999998</v>
      </c>
      <c r="C376" s="43">
        <f t="shared" si="20"/>
        <v>9080.3035829400233</v>
      </c>
      <c r="D376" s="43">
        <f t="shared" si="21"/>
        <v>0.38546901299445424</v>
      </c>
      <c r="E376" s="43">
        <f t="shared" si="22"/>
        <v>0.16297115730737541</v>
      </c>
      <c r="F376" s="43">
        <f t="shared" si="23"/>
        <v>0.15854074792005068</v>
      </c>
    </row>
    <row r="377" spans="2:6" ht="14.4" x14ac:dyDescent="0.3">
      <c r="B377" s="36">
        <v>0.35299999999999998</v>
      </c>
      <c r="C377" s="43">
        <f t="shared" si="20"/>
        <v>9079.7418405144199</v>
      </c>
      <c r="D377" s="43">
        <f t="shared" si="21"/>
        <v>0.38537768583232312</v>
      </c>
      <c r="E377" s="43">
        <f t="shared" si="22"/>
        <v>0.16292499258460139</v>
      </c>
      <c r="F377" s="43">
        <f t="shared" si="23"/>
        <v>0.15848944452280211</v>
      </c>
    </row>
    <row r="378" spans="2:6" ht="14.4" x14ac:dyDescent="0.3">
      <c r="B378" s="36">
        <v>0.35399999999999998</v>
      </c>
      <c r="C378" s="43">
        <f t="shared" si="20"/>
        <v>9079.1805109000743</v>
      </c>
      <c r="D378" s="43">
        <f t="shared" si="21"/>
        <v>0.38528643912570665</v>
      </c>
      <c r="E378" s="43">
        <f t="shared" si="22"/>
        <v>0.16287884249295004</v>
      </c>
      <c r="F378" s="43">
        <f t="shared" si="23"/>
        <v>0.15843818549160879</v>
      </c>
    </row>
    <row r="379" spans="2:6" ht="14.4" x14ac:dyDescent="0.3">
      <c r="B379" s="36">
        <v>0.35499999999999998</v>
      </c>
      <c r="C379" s="43">
        <f t="shared" si="20"/>
        <v>9078.6195904414599</v>
      </c>
      <c r="D379" s="43">
        <f t="shared" si="21"/>
        <v>0.38519527224464967</v>
      </c>
      <c r="E379" s="43">
        <f t="shared" si="22"/>
        <v>0.16283270677858142</v>
      </c>
      <c r="F379" s="43">
        <f t="shared" si="23"/>
        <v>0.15838697047485639</v>
      </c>
    </row>
    <row r="380" spans="2:6" ht="14.4" x14ac:dyDescent="0.3">
      <c r="B380" s="36">
        <v>0.35599999999999998</v>
      </c>
      <c r="C380" s="43">
        <f t="shared" si="20"/>
        <v>9078.0590755032063</v>
      </c>
      <c r="D380" s="43">
        <f t="shared" si="21"/>
        <v>0.38510418456291196</v>
      </c>
      <c r="E380" s="43">
        <f t="shared" si="22"/>
        <v>0.16278658518870565</v>
      </c>
      <c r="F380" s="43">
        <f t="shared" si="23"/>
        <v>0.15833579912298978</v>
      </c>
    </row>
    <row r="381" spans="2:6" ht="14.4" x14ac:dyDescent="0.3">
      <c r="B381" s="36">
        <v>0.35699999999999998</v>
      </c>
      <c r="C381" s="43">
        <f t="shared" si="20"/>
        <v>9077.4989624698355</v>
      </c>
      <c r="D381" s="43">
        <f t="shared" si="21"/>
        <v>0.38501317545792463</v>
      </c>
      <c r="E381" s="43">
        <f t="shared" si="22"/>
        <v>0.16274047747156783</v>
      </c>
      <c r="F381" s="43">
        <f t="shared" si="23"/>
        <v>0.15828467108848887</v>
      </c>
    </row>
    <row r="382" spans="2:6" ht="14.4" x14ac:dyDescent="0.3">
      <c r="B382" s="36">
        <v>0.35799999999999998</v>
      </c>
      <c r="C382" s="43">
        <f t="shared" si="20"/>
        <v>9076.9392477455349</v>
      </c>
      <c r="D382" s="43">
        <f t="shared" si="21"/>
        <v>0.38492224431074645</v>
      </c>
      <c r="E382" s="43">
        <f t="shared" si="22"/>
        <v>0.16269438337643299</v>
      </c>
      <c r="F382" s="43">
        <f t="shared" si="23"/>
        <v>0.15823358602584425</v>
      </c>
    </row>
    <row r="383" spans="2:6" ht="14.4" x14ac:dyDescent="0.3">
      <c r="B383" s="36">
        <v>0.35899999999999999</v>
      </c>
      <c r="C383" s="43">
        <f t="shared" si="20"/>
        <v>9076.3799277539019</v>
      </c>
      <c r="D383" s="43">
        <f t="shared" si="21"/>
        <v>0.384831390506021</v>
      </c>
      <c r="E383" s="43">
        <f t="shared" si="22"/>
        <v>0.16264830265357144</v>
      </c>
      <c r="F383" s="43">
        <f t="shared" si="23"/>
        <v>0.15818254359153353</v>
      </c>
    </row>
    <row r="384" spans="2:6" ht="14.4" x14ac:dyDescent="0.3">
      <c r="B384" s="36">
        <v>0.36</v>
      </c>
      <c r="C384" s="43">
        <f t="shared" si="20"/>
        <v>9075.8209989377137</v>
      </c>
      <c r="D384" s="43">
        <f t="shared" si="21"/>
        <v>0.38474061343193455</v>
      </c>
      <c r="E384" s="43">
        <f t="shared" si="22"/>
        <v>0.16260223505424384</v>
      </c>
      <c r="F384" s="43">
        <f t="shared" si="23"/>
        <v>0.1581315434439976</v>
      </c>
    </row>
    <row r="385" spans="2:6" ht="14.4" x14ac:dyDescent="0.3">
      <c r="B385" s="36">
        <v>0.36099999999999999</v>
      </c>
      <c r="C385" s="43">
        <f t="shared" si="20"/>
        <v>9075.2624577586957</v>
      </c>
      <c r="D385" s="43">
        <f t="shared" si="21"/>
        <v>0.38464991248017388</v>
      </c>
      <c r="E385" s="43">
        <f t="shared" si="22"/>
        <v>0.16255618033068697</v>
      </c>
      <c r="F385" s="43">
        <f t="shared" si="23"/>
        <v>0.1580805852436174</v>
      </c>
    </row>
    <row r="386" spans="2:6" ht="14.4" x14ac:dyDescent="0.3">
      <c r="B386" s="36">
        <v>0.36199999999999999</v>
      </c>
      <c r="C386" s="43">
        <f t="shared" si="20"/>
        <v>9074.7043006972799</v>
      </c>
      <c r="D386" s="43">
        <f t="shared" si="21"/>
        <v>0.38455928704588516</v>
      </c>
      <c r="E386" s="43">
        <f t="shared" si="22"/>
        <v>0.16251013823609922</v>
      </c>
      <c r="F386" s="43">
        <f t="shared" si="23"/>
        <v>0.158029668652691</v>
      </c>
    </row>
    <row r="387" spans="2:6" ht="14.4" x14ac:dyDescent="0.3">
      <c r="B387" s="36">
        <v>0.36299999999999999</v>
      </c>
      <c r="C387" s="43">
        <f t="shared" si="20"/>
        <v>9074.1465242523809</v>
      </c>
      <c r="D387" s="43">
        <f t="shared" si="21"/>
        <v>0.38446873652763275</v>
      </c>
      <c r="E387" s="43">
        <f t="shared" si="22"/>
        <v>0.16246410852462642</v>
      </c>
      <c r="F387" s="43">
        <f t="shared" si="23"/>
        <v>0.15797879333541073</v>
      </c>
    </row>
    <row r="388" spans="2:6" ht="14.4" x14ac:dyDescent="0.3">
      <c r="B388" s="36">
        <v>0.36399999999999999</v>
      </c>
      <c r="C388" s="43">
        <f t="shared" si="20"/>
        <v>9073.5891249411707</v>
      </c>
      <c r="D388" s="43">
        <f t="shared" si="21"/>
        <v>0.38437826032735928</v>
      </c>
      <c r="E388" s="43">
        <f t="shared" si="22"/>
        <v>0.16241809095134782</v>
      </c>
      <c r="F388" s="43">
        <f t="shared" si="23"/>
        <v>0.15792795895784079</v>
      </c>
    </row>
    <row r="389" spans="2:6" ht="14.4" x14ac:dyDescent="0.3">
      <c r="B389" s="36">
        <v>0.36499999999999999</v>
      </c>
      <c r="C389" s="43">
        <f t="shared" si="20"/>
        <v>9073.0320992988491</v>
      </c>
      <c r="D389" s="43">
        <f t="shared" si="21"/>
        <v>0.38428785785034525</v>
      </c>
      <c r="E389" s="43">
        <f t="shared" si="22"/>
        <v>0.16237208527226199</v>
      </c>
      <c r="F389" s="43">
        <f t="shared" si="23"/>
        <v>0.15787716518789502</v>
      </c>
    </row>
    <row r="390" spans="2:6" ht="14.4" x14ac:dyDescent="0.3">
      <c r="B390" s="36">
        <v>0.36599999999999999</v>
      </c>
      <c r="C390" s="43">
        <f t="shared" si="20"/>
        <v>9072.4754438784257</v>
      </c>
      <c r="D390" s="43">
        <f t="shared" si="21"/>
        <v>0.38419752850517008</v>
      </c>
      <c r="E390" s="43">
        <f t="shared" si="22"/>
        <v>0.16232609124427333</v>
      </c>
      <c r="F390" s="43">
        <f t="shared" si="23"/>
        <v>0.157826411695315</v>
      </c>
    </row>
    <row r="391" spans="2:6" ht="14.4" x14ac:dyDescent="0.3">
      <c r="B391" s="36">
        <v>0.36699999999999999</v>
      </c>
      <c r="C391" s="43">
        <f t="shared" si="20"/>
        <v>9071.9191552504999</v>
      </c>
      <c r="D391" s="43">
        <f t="shared" si="21"/>
        <v>0.38410727170367254</v>
      </c>
      <c r="E391" s="43">
        <f t="shared" si="22"/>
        <v>0.16228010862517805</v>
      </c>
      <c r="F391" s="43">
        <f t="shared" si="23"/>
        <v>0.15777569815164824</v>
      </c>
    </row>
    <row r="392" spans="2:6" ht="14.4" x14ac:dyDescent="0.3">
      <c r="B392" s="36">
        <v>0.36799999999999999</v>
      </c>
      <c r="C392" s="43">
        <f t="shared" si="20"/>
        <v>9071.3632300030422</v>
      </c>
      <c r="D392" s="43">
        <f t="shared" si="21"/>
        <v>0.38401708686091274</v>
      </c>
      <c r="E392" s="43">
        <f t="shared" si="22"/>
        <v>0.16223413717365109</v>
      </c>
      <c r="F392" s="43">
        <f t="shared" si="23"/>
        <v>0.15772502423022688</v>
      </c>
    </row>
    <row r="393" spans="2:6" ht="14.4" x14ac:dyDescent="0.3">
      <c r="B393" s="36">
        <v>0.36899999999999999</v>
      </c>
      <c r="C393" s="43">
        <f t="shared" si="20"/>
        <v>9070.8076647411835</v>
      </c>
      <c r="D393" s="43">
        <f t="shared" si="21"/>
        <v>0.38392697339513371</v>
      </c>
      <c r="E393" s="43">
        <f t="shared" si="22"/>
        <v>0.1621881766492323</v>
      </c>
      <c r="F393" s="43">
        <f t="shared" si="23"/>
        <v>0.15767438960614644</v>
      </c>
    </row>
    <row r="394" spans="2:6" ht="14.4" x14ac:dyDescent="0.3">
      <c r="B394" s="36">
        <v>0.37</v>
      </c>
      <c r="C394" s="43">
        <f t="shared" si="20"/>
        <v>9070.252456086997</v>
      </c>
      <c r="D394" s="43">
        <f t="shared" si="21"/>
        <v>0.38383693072772385</v>
      </c>
      <c r="E394" s="43">
        <f t="shared" si="22"/>
        <v>0.16214222681231349</v>
      </c>
      <c r="F394" s="43">
        <f t="shared" si="23"/>
        <v>0.15762379395624482</v>
      </c>
    </row>
    <row r="395" spans="2:6" ht="14.4" x14ac:dyDescent="0.3">
      <c r="B395" s="36">
        <v>0.371</v>
      </c>
      <c r="C395" s="43">
        <f t="shared" si="20"/>
        <v>9069.6976006792938</v>
      </c>
      <c r="D395" s="43">
        <f t="shared" si="21"/>
        <v>0.38374695828317962</v>
      </c>
      <c r="E395" s="43">
        <f t="shared" si="22"/>
        <v>0.16209628742412518</v>
      </c>
      <c r="F395" s="43">
        <f t="shared" si="23"/>
        <v>0.15757323695908171</v>
      </c>
    </row>
    <row r="396" spans="2:6" ht="14.4" x14ac:dyDescent="0.3">
      <c r="B396" s="36">
        <v>0.372</v>
      </c>
      <c r="C396" s="43">
        <f t="shared" si="20"/>
        <v>9069.1430951734183</v>
      </c>
      <c r="D396" s="43">
        <f t="shared" si="21"/>
        <v>0.38365705548906914</v>
      </c>
      <c r="E396" s="43">
        <f t="shared" si="22"/>
        <v>0.16205035824672365</v>
      </c>
      <c r="F396" s="43">
        <f t="shared" si="23"/>
        <v>0.15752271829491785</v>
      </c>
    </row>
    <row r="397" spans="2:6" ht="14.4" x14ac:dyDescent="0.3">
      <c r="B397" s="36">
        <v>0.373</v>
      </c>
      <c r="C397" s="43">
        <f t="shared" si="20"/>
        <v>9068.5889362410308</v>
      </c>
      <c r="D397" s="43">
        <f t="shared" si="21"/>
        <v>0.383567221775995</v>
      </c>
      <c r="E397" s="43">
        <f t="shared" si="22"/>
        <v>0.16200443904297801</v>
      </c>
      <c r="F397" s="43">
        <f t="shared" si="23"/>
        <v>0.15747223764569515</v>
      </c>
    </row>
    <row r="398" spans="2:6" ht="14.4" x14ac:dyDescent="0.3">
      <c r="B398" s="36">
        <v>0.374</v>
      </c>
      <c r="C398" s="43">
        <f t="shared" si="20"/>
        <v>9068.0351205699171</v>
      </c>
      <c r="D398" s="43">
        <f t="shared" si="21"/>
        <v>0.38347745657755927</v>
      </c>
      <c r="E398" s="43">
        <f t="shared" si="22"/>
        <v>0.16195852957655746</v>
      </c>
      <c r="F398" s="43">
        <f t="shared" si="23"/>
        <v>0.15742179469501646</v>
      </c>
    </row>
    <row r="399" spans="2:6" ht="14.4" x14ac:dyDescent="0.3">
      <c r="B399" s="36">
        <v>0.375</v>
      </c>
      <c r="C399" s="43">
        <f t="shared" si="20"/>
        <v>9067.4816448637848</v>
      </c>
      <c r="D399" s="43">
        <f t="shared" si="21"/>
        <v>0.38338775933032698</v>
      </c>
      <c r="E399" s="43">
        <f t="shared" si="22"/>
        <v>0.16191262961191866</v>
      </c>
      <c r="F399" s="43">
        <f t="shared" si="23"/>
        <v>0.1573713891281257</v>
      </c>
    </row>
    <row r="400" spans="2:6" ht="14.4" x14ac:dyDescent="0.3">
      <c r="B400" s="36">
        <v>0.376</v>
      </c>
      <c r="C400" s="43">
        <f t="shared" si="20"/>
        <v>9066.9285058420573</v>
      </c>
      <c r="D400" s="43">
        <f t="shared" si="21"/>
        <v>0.38329812947379172</v>
      </c>
      <c r="E400" s="43">
        <f t="shared" si="22"/>
        <v>0.16186673891429321</v>
      </c>
      <c r="F400" s="43">
        <f t="shared" si="23"/>
        <v>0.15732102063188846</v>
      </c>
    </row>
    <row r="401" spans="2:6" ht="14.4" x14ac:dyDescent="0.3">
      <c r="B401" s="36">
        <v>0.377</v>
      </c>
      <c r="C401" s="43">
        <f t="shared" si="20"/>
        <v>9066.3757002396906</v>
      </c>
      <c r="D401" s="43">
        <f t="shared" si="21"/>
        <v>0.38320856645034035</v>
      </c>
      <c r="E401" s="43">
        <f t="shared" si="22"/>
        <v>0.16182085724967527</v>
      </c>
      <c r="F401" s="43">
        <f t="shared" si="23"/>
        <v>0.15727068889477258</v>
      </c>
    </row>
    <row r="402" spans="2:6" ht="14.4" x14ac:dyDescent="0.3">
      <c r="B402" s="36">
        <v>0.378</v>
      </c>
      <c r="C402" s="43">
        <f t="shared" si="20"/>
        <v>9065.8232248069653</v>
      </c>
      <c r="D402" s="43">
        <f t="shared" si="21"/>
        <v>0.38311906970521881</v>
      </c>
      <c r="E402" s="43">
        <f t="shared" si="22"/>
        <v>0.16177498438480914</v>
      </c>
      <c r="F402" s="43">
        <f t="shared" si="23"/>
        <v>0.15722039360682893</v>
      </c>
    </row>
    <row r="403" spans="2:6" ht="14.4" x14ac:dyDescent="0.3">
      <c r="B403" s="36">
        <v>0.379</v>
      </c>
      <c r="C403" s="43">
        <f t="shared" si="20"/>
        <v>9065.2710763093019</v>
      </c>
      <c r="D403" s="43">
        <f t="shared" si="21"/>
        <v>0.38302963868649809</v>
      </c>
      <c r="E403" s="43">
        <f t="shared" si="22"/>
        <v>0.16172912008717727</v>
      </c>
      <c r="F403" s="43">
        <f t="shared" si="23"/>
        <v>0.15717013445967254</v>
      </c>
    </row>
    <row r="404" spans="2:6" ht="14.4" x14ac:dyDescent="0.3">
      <c r="B404" s="36">
        <v>0.38</v>
      </c>
      <c r="C404" s="43">
        <f t="shared" si="20"/>
        <v>9064.7192515270744</v>
      </c>
      <c r="D404" s="43">
        <f t="shared" si="21"/>
        <v>0.38294027284504045</v>
      </c>
      <c r="E404" s="43">
        <f t="shared" si="22"/>
        <v>0.16168326412498801</v>
      </c>
      <c r="F404" s="43">
        <f t="shared" si="23"/>
        <v>0.15711991114646384</v>
      </c>
    </row>
    <row r="405" spans="2:6" ht="14.4" x14ac:dyDescent="0.3">
      <c r="B405" s="36">
        <v>0.38100000000000001</v>
      </c>
      <c r="C405" s="43">
        <f t="shared" si="20"/>
        <v>9064.1677472554111</v>
      </c>
      <c r="D405" s="43">
        <f t="shared" si="21"/>
        <v>0.38285097163446635</v>
      </c>
      <c r="E405" s="43">
        <f t="shared" si="22"/>
        <v>0.16163741626716374</v>
      </c>
      <c r="F405" s="43">
        <f t="shared" si="23"/>
        <v>0.15706972336189026</v>
      </c>
    </row>
    <row r="406" spans="2:6" ht="14.4" x14ac:dyDescent="0.3">
      <c r="B406" s="36">
        <v>0.38200000000000001</v>
      </c>
      <c r="C406" s="43">
        <f t="shared" si="20"/>
        <v>9063.6165603040154</v>
      </c>
      <c r="D406" s="43">
        <f t="shared" si="21"/>
        <v>0.38276173451112139</v>
      </c>
      <c r="E406" s="43">
        <f t="shared" si="22"/>
        <v>0.16159157628332893</v>
      </c>
      <c r="F406" s="43">
        <f t="shared" si="23"/>
        <v>0.15701957080214768</v>
      </c>
    </row>
    <row r="407" spans="2:6" ht="14.4" x14ac:dyDescent="0.3">
      <c r="B407" s="36">
        <v>0.38300000000000001</v>
      </c>
      <c r="C407" s="43">
        <f t="shared" si="20"/>
        <v>9063.0656874969827</v>
      </c>
      <c r="D407" s="43">
        <f t="shared" si="21"/>
        <v>0.38267256093404367</v>
      </c>
      <c r="E407" s="43">
        <f t="shared" si="22"/>
        <v>0.16154574394379845</v>
      </c>
      <c r="F407" s="43">
        <f t="shared" si="23"/>
        <v>0.15696945316492239</v>
      </c>
    </row>
    <row r="408" spans="2:6" ht="14.4" x14ac:dyDescent="0.3">
      <c r="B408" s="36">
        <v>0.38400000000000001</v>
      </c>
      <c r="C408" s="43">
        <f t="shared" si="20"/>
        <v>9062.5151256726131</v>
      </c>
      <c r="D408" s="43">
        <f t="shared" si="21"/>
        <v>0.38258345036493174</v>
      </c>
      <c r="E408" s="43">
        <f t="shared" si="22"/>
        <v>0.16149991901956587</v>
      </c>
      <c r="F408" s="43">
        <f t="shared" si="23"/>
        <v>0.15691937014937329</v>
      </c>
    </row>
    <row r="409" spans="2:6" ht="14.4" x14ac:dyDescent="0.3">
      <c r="B409" s="36">
        <v>0.38500000000000001</v>
      </c>
      <c r="C409" s="43">
        <f t="shared" ref="C409:C472" si="24">_xlfn.BETA.INV((1-B409),$C$7,$C$8)*($C$5-$C$3)+$C$3</f>
        <v>9061.9648716832344</v>
      </c>
      <c r="D409" s="43">
        <f t="shared" ref="D409:D472" si="25">_xlfn.BETA.INV((1-B409),$D$7,$D$8)*($D$5-$D$3)+$D$3</f>
        <v>0.38249440226811254</v>
      </c>
      <c r="E409" s="43">
        <f t="shared" ref="E409:E472" si="26">_xlfn.BETA.INV((1-B409),$E$7,$E$8)*($E$5-$E$3)+$E$3</f>
        <v>0.16145410128229187</v>
      </c>
      <c r="F409" s="43">
        <f t="shared" ref="F409:F472" si="27">_xlfn.BETA.INV((1-B409),$F$7,$F$8)*($F$5-$F$3)+$F$3</f>
        <v>0.15686932145611396</v>
      </c>
    </row>
    <row r="410" spans="2:6" ht="14.4" x14ac:dyDescent="0.3">
      <c r="B410" s="36">
        <v>0.38600000000000001</v>
      </c>
      <c r="C410" s="43">
        <f t="shared" si="24"/>
        <v>9061.4149223950208</v>
      </c>
      <c r="D410" s="43">
        <f t="shared" si="25"/>
        <v>0.3824054161105101</v>
      </c>
      <c r="E410" s="43">
        <f t="shared" si="26"/>
        <v>0.16140829050429284</v>
      </c>
      <c r="F410" s="43">
        <f t="shared" si="27"/>
        <v>0.15681930678719513</v>
      </c>
    </row>
    <row r="411" spans="2:6" ht="14.4" x14ac:dyDescent="0.3">
      <c r="B411" s="36">
        <v>0.38700000000000001</v>
      </c>
      <c r="C411" s="43">
        <f t="shared" si="24"/>
        <v>9060.8652746878179</v>
      </c>
      <c r="D411" s="43">
        <f t="shared" si="25"/>
        <v>0.382316491361614</v>
      </c>
      <c r="E411" s="43">
        <f t="shared" si="26"/>
        <v>0.16136248645852946</v>
      </c>
      <c r="F411" s="43">
        <f t="shared" si="27"/>
        <v>0.15676932584608738</v>
      </c>
    </row>
    <row r="412" spans="2:6" ht="14.4" x14ac:dyDescent="0.3">
      <c r="B412" s="36">
        <v>0.38800000000000001</v>
      </c>
      <c r="C412" s="43">
        <f t="shared" si="24"/>
        <v>9060.3159254549664</v>
      </c>
      <c r="D412" s="43">
        <f t="shared" si="25"/>
        <v>0.3822276274934488</v>
      </c>
      <c r="E412" s="43">
        <f t="shared" si="26"/>
        <v>0.16131668891859538</v>
      </c>
      <c r="F412" s="43">
        <f t="shared" si="27"/>
        <v>0.15671937833766386</v>
      </c>
    </row>
    <row r="413" spans="2:6" ht="14.4" x14ac:dyDescent="0.3">
      <c r="B413" s="36">
        <v>0.38900000000000001</v>
      </c>
      <c r="C413" s="43">
        <f t="shared" si="24"/>
        <v>9059.766871603133</v>
      </c>
      <c r="D413" s="43">
        <f t="shared" si="25"/>
        <v>0.38213882398054322</v>
      </c>
      <c r="E413" s="43">
        <f t="shared" si="26"/>
        <v>0.16127089765870617</v>
      </c>
      <c r="F413" s="43">
        <f t="shared" si="27"/>
        <v>0.15666946396818332</v>
      </c>
    </row>
    <row r="414" spans="2:6" ht="14.4" x14ac:dyDescent="0.3">
      <c r="B414" s="36">
        <v>0.39</v>
      </c>
      <c r="C414" s="43">
        <f t="shared" si="24"/>
        <v>9059.2181100521266</v>
      </c>
      <c r="D414" s="43">
        <f t="shared" si="25"/>
        <v>0.38205008029990023</v>
      </c>
      <c r="E414" s="43">
        <f t="shared" si="26"/>
        <v>0.16122511245368806</v>
      </c>
      <c r="F414" s="43">
        <f t="shared" si="27"/>
        <v>0.1566195824452733</v>
      </c>
    </row>
    <row r="415" spans="2:6" ht="14.4" x14ac:dyDescent="0.3">
      <c r="B415" s="36">
        <v>0.39100000000000001</v>
      </c>
      <c r="C415" s="43">
        <f t="shared" si="24"/>
        <v>9058.6696377347434</v>
      </c>
      <c r="D415" s="43">
        <f t="shared" si="25"/>
        <v>0.38196139593096662</v>
      </c>
      <c r="E415" s="43">
        <f t="shared" si="26"/>
        <v>0.16117933307896709</v>
      </c>
      <c r="F415" s="43">
        <f t="shared" si="27"/>
        <v>0.15656973347791339</v>
      </c>
    </row>
    <row r="416" spans="2:6" ht="14.4" x14ac:dyDescent="0.3">
      <c r="B416" s="36">
        <v>0.39200000000000002</v>
      </c>
      <c r="C416" s="43">
        <f t="shared" si="24"/>
        <v>9058.1214515965876</v>
      </c>
      <c r="D416" s="43">
        <f t="shared" si="25"/>
        <v>0.38187277035560391</v>
      </c>
      <c r="E416" s="43">
        <f t="shared" si="26"/>
        <v>0.16113355931055801</v>
      </c>
      <c r="F416" s="43">
        <f t="shared" si="27"/>
        <v>0.15651991677641872</v>
      </c>
    </row>
    <row r="417" spans="2:6" ht="14.4" x14ac:dyDescent="0.3">
      <c r="B417" s="36">
        <v>0.39300000000000002</v>
      </c>
      <c r="C417" s="43">
        <f t="shared" si="24"/>
        <v>9057.5735485959121</v>
      </c>
      <c r="D417" s="43">
        <f t="shared" si="25"/>
        <v>0.3817842030580586</v>
      </c>
      <c r="E417" s="43">
        <f t="shared" si="26"/>
        <v>0.16108779092505363</v>
      </c>
      <c r="F417" s="43">
        <f t="shared" si="27"/>
        <v>0.15647013205242372</v>
      </c>
    </row>
    <row r="418" spans="2:6" ht="14.4" x14ac:dyDescent="0.3">
      <c r="B418" s="36">
        <v>0.39400000000000002</v>
      </c>
      <c r="C418" s="43">
        <f t="shared" si="24"/>
        <v>9057.025925703445</v>
      </c>
      <c r="D418" s="43">
        <f t="shared" si="25"/>
        <v>0.38169569352493343</v>
      </c>
      <c r="E418" s="43">
        <f t="shared" si="26"/>
        <v>0.1610420276996139</v>
      </c>
      <c r="F418" s="43">
        <f t="shared" si="27"/>
        <v>0.15642037901886582</v>
      </c>
    </row>
    <row r="419" spans="2:6" ht="14.4" x14ac:dyDescent="0.3">
      <c r="B419" s="36">
        <v>0.39500000000000002</v>
      </c>
      <c r="C419" s="43">
        <f t="shared" si="24"/>
        <v>9056.4785799022338</v>
      </c>
      <c r="D419" s="43">
        <f t="shared" si="25"/>
        <v>0.38160724124515844</v>
      </c>
      <c r="E419" s="43">
        <f t="shared" si="26"/>
        <v>0.16099626941195549</v>
      </c>
      <c r="F419" s="43">
        <f t="shared" si="27"/>
        <v>0.15637065738996964</v>
      </c>
    </row>
    <row r="420" spans="2:6" ht="14.4" x14ac:dyDescent="0.3">
      <c r="B420" s="36">
        <v>0.39600000000000002</v>
      </c>
      <c r="C420" s="43">
        <f t="shared" si="24"/>
        <v>9055.9315081874811</v>
      </c>
      <c r="D420" s="43">
        <f t="shared" si="25"/>
        <v>0.3815188457099627</v>
      </c>
      <c r="E420" s="43">
        <f t="shared" si="26"/>
        <v>0.16095051584034081</v>
      </c>
      <c r="F420" s="43">
        <f t="shared" si="27"/>
        <v>0.15632096688123093</v>
      </c>
    </row>
    <row r="421" spans="2:6" ht="14.4" x14ac:dyDescent="0.3">
      <c r="B421" s="36">
        <v>0.39700000000000002</v>
      </c>
      <c r="C421" s="43">
        <f t="shared" si="24"/>
        <v>9055.3847075663816</v>
      </c>
      <c r="D421" s="43">
        <f t="shared" si="25"/>
        <v>0.38143050641284593</v>
      </c>
      <c r="E421" s="43">
        <f t="shared" si="26"/>
        <v>0.16090476676356785</v>
      </c>
      <c r="F421" s="43">
        <f t="shared" si="27"/>
        <v>0.15627130720940094</v>
      </c>
    </row>
    <row r="422" spans="2:6" ht="14.4" x14ac:dyDescent="0.3">
      <c r="B422" s="36">
        <v>0.39800000000000002</v>
      </c>
      <c r="C422" s="43">
        <f t="shared" si="24"/>
        <v>9054.8381750579647</v>
      </c>
      <c r="D422" s="43">
        <f t="shared" si="25"/>
        <v>0.38134222284955077</v>
      </c>
      <c r="E422" s="43">
        <f t="shared" si="26"/>
        <v>0.16085902196095964</v>
      </c>
      <c r="F422" s="43">
        <f t="shared" si="27"/>
        <v>0.15622167809247101</v>
      </c>
    </row>
    <row r="423" spans="2:6" ht="14.4" x14ac:dyDescent="0.3">
      <c r="B423" s="36">
        <v>0.39900000000000002</v>
      </c>
      <c r="C423" s="43">
        <f t="shared" si="24"/>
        <v>9054.2919076929356</v>
      </c>
      <c r="D423" s="43">
        <f t="shared" si="25"/>
        <v>0.38125399451803527</v>
      </c>
      <c r="E423" s="43">
        <f t="shared" si="26"/>
        <v>0.1608132812123538</v>
      </c>
      <c r="F423" s="43">
        <f t="shared" si="27"/>
        <v>0.15617207924965704</v>
      </c>
    </row>
    <row r="424" spans="2:6" ht="14.4" x14ac:dyDescent="0.3">
      <c r="B424" s="36">
        <v>0.4</v>
      </c>
      <c r="C424" s="43">
        <f t="shared" si="24"/>
        <v>9053.7459025135267</v>
      </c>
      <c r="D424" s="43">
        <f t="shared" si="25"/>
        <v>0.38116582091844514</v>
      </c>
      <c r="E424" s="43">
        <f t="shared" si="26"/>
        <v>0.1607675442980924</v>
      </c>
      <c r="F424" s="43">
        <f t="shared" si="27"/>
        <v>0.15612251040138428</v>
      </c>
    </row>
    <row r="425" spans="2:6" ht="14.4" x14ac:dyDescent="0.3">
      <c r="B425" s="36">
        <v>0.40100000000000002</v>
      </c>
      <c r="C425" s="43">
        <f t="shared" si="24"/>
        <v>9053.2001565733317</v>
      </c>
      <c r="D425" s="43">
        <f t="shared" si="25"/>
        <v>0.38107770155308712</v>
      </c>
      <c r="E425" s="43">
        <f t="shared" si="26"/>
        <v>0.16072181099901159</v>
      </c>
      <c r="F425" s="43">
        <f t="shared" si="27"/>
        <v>0.15607297126927228</v>
      </c>
    </row>
    <row r="426" spans="2:6" ht="14.4" x14ac:dyDescent="0.3">
      <c r="B426" s="36">
        <v>0.40200000000000002</v>
      </c>
      <c r="C426" s="43">
        <f t="shared" si="24"/>
        <v>9052.6546669371564</v>
      </c>
      <c r="D426" s="43">
        <f t="shared" si="25"/>
        <v>0.38098963592640189</v>
      </c>
      <c r="E426" s="43">
        <f t="shared" si="26"/>
        <v>0.16067608109643167</v>
      </c>
      <c r="F426" s="43">
        <f t="shared" si="27"/>
        <v>0.15602346157611999</v>
      </c>
    </row>
    <row r="427" spans="2:6" ht="14.4" x14ac:dyDescent="0.3">
      <c r="B427" s="36">
        <v>0.40300000000000002</v>
      </c>
      <c r="C427" s="43">
        <f t="shared" si="24"/>
        <v>9052.1094306808754</v>
      </c>
      <c r="D427" s="43">
        <f t="shared" si="25"/>
        <v>0.38090162354493762</v>
      </c>
      <c r="E427" s="43">
        <f t="shared" si="26"/>
        <v>0.16063035437214673</v>
      </c>
      <c r="F427" s="43">
        <f t="shared" si="27"/>
        <v>0.15597398104589075</v>
      </c>
    </row>
    <row r="428" spans="2:6" ht="14.4" x14ac:dyDescent="0.3">
      <c r="B428" s="36">
        <v>0.40400000000000003</v>
      </c>
      <c r="C428" s="43">
        <f t="shared" si="24"/>
        <v>9051.5644448912662</v>
      </c>
      <c r="D428" s="43">
        <f t="shared" si="25"/>
        <v>0.38081366391732363</v>
      </c>
      <c r="E428" s="43">
        <f t="shared" si="26"/>
        <v>0.1605846306084151</v>
      </c>
      <c r="F428" s="43">
        <f t="shared" si="27"/>
        <v>0.15592452940369794</v>
      </c>
    </row>
    <row r="429" spans="2:6" ht="14.4" x14ac:dyDescent="0.3">
      <c r="B429" s="36">
        <v>0.40500000000000003</v>
      </c>
      <c r="C429" s="43">
        <f t="shared" si="24"/>
        <v>9051.0197066658729</v>
      </c>
      <c r="D429" s="43">
        <f t="shared" si="25"/>
        <v>0.38072575655424423</v>
      </c>
      <c r="E429" s="43">
        <f t="shared" si="26"/>
        <v>0.16053890958794884</v>
      </c>
      <c r="F429" s="43">
        <f t="shared" si="27"/>
        <v>0.15587510637579019</v>
      </c>
    </row>
    <row r="430" spans="2:6" ht="14.4" x14ac:dyDescent="0.3">
      <c r="B430" s="36">
        <v>0.40600000000000003</v>
      </c>
      <c r="C430" s="43">
        <f t="shared" si="24"/>
        <v>9050.4752131128535</v>
      </c>
      <c r="D430" s="43">
        <f t="shared" si="25"/>
        <v>0.3806379009684131</v>
      </c>
      <c r="E430" s="43">
        <f t="shared" si="26"/>
        <v>0.16049319109390439</v>
      </c>
      <c r="F430" s="43">
        <f t="shared" si="27"/>
        <v>0.1558257116895371</v>
      </c>
    </row>
    <row r="431" spans="2:6" ht="14.4" x14ac:dyDescent="0.3">
      <c r="B431" s="36">
        <v>0.40699999999999997</v>
      </c>
      <c r="C431" s="43">
        <f t="shared" si="24"/>
        <v>9049.9309613508321</v>
      </c>
      <c r="D431" s="43">
        <f t="shared" si="25"/>
        <v>0.38055009667454764</v>
      </c>
      <c r="E431" s="43">
        <f t="shared" si="26"/>
        <v>0.16044747490987243</v>
      </c>
      <c r="F431" s="43">
        <f t="shared" si="27"/>
        <v>0.15577634507341498</v>
      </c>
    </row>
    <row r="432" spans="2:6" ht="14.4" x14ac:dyDescent="0.3">
      <c r="B432" s="36">
        <v>0.40799999999999997</v>
      </c>
      <c r="C432" s="43">
        <f t="shared" si="24"/>
        <v>9049.3869485087562</v>
      </c>
      <c r="D432" s="43">
        <f t="shared" si="25"/>
        <v>0.38046234318934341</v>
      </c>
      <c r="E432" s="43">
        <f t="shared" si="26"/>
        <v>0.16040176081986843</v>
      </c>
      <c r="F432" s="43">
        <f t="shared" si="27"/>
        <v>0.15572700625699276</v>
      </c>
    </row>
    <row r="433" spans="2:6" ht="14.4" x14ac:dyDescent="0.3">
      <c r="B433" s="36">
        <v>0.40899999999999997</v>
      </c>
      <c r="C433" s="43">
        <f t="shared" si="24"/>
        <v>9048.8431717257499</v>
      </c>
      <c r="D433" s="43">
        <f t="shared" si="25"/>
        <v>0.38037464003144938</v>
      </c>
      <c r="E433" s="43">
        <f t="shared" si="26"/>
        <v>0.16035604860832259</v>
      </c>
      <c r="F433" s="43">
        <f t="shared" si="27"/>
        <v>0.15567769497091788</v>
      </c>
    </row>
    <row r="434" spans="2:6" ht="14.4" x14ac:dyDescent="0.3">
      <c r="B434" s="36">
        <v>0.41</v>
      </c>
      <c r="C434" s="43">
        <f t="shared" si="24"/>
        <v>9048.2996281509731</v>
      </c>
      <c r="D434" s="43">
        <f t="shared" si="25"/>
        <v>0.38028698672144284</v>
      </c>
      <c r="E434" s="43">
        <f t="shared" si="26"/>
        <v>0.16031033806007064</v>
      </c>
      <c r="F434" s="43">
        <f t="shared" si="27"/>
        <v>0.1556284109469025</v>
      </c>
    </row>
    <row r="435" spans="2:6" ht="14.4" x14ac:dyDescent="0.3">
      <c r="B435" s="36">
        <v>0.41099999999999998</v>
      </c>
      <c r="C435" s="43">
        <f t="shared" si="24"/>
        <v>9047.7563149434827</v>
      </c>
      <c r="D435" s="43">
        <f t="shared" si="25"/>
        <v>0.38019938278180471</v>
      </c>
      <c r="E435" s="43">
        <f t="shared" si="26"/>
        <v>0.16026462896034399</v>
      </c>
      <c r="F435" s="43">
        <f t="shared" si="27"/>
        <v>0.15557915391770982</v>
      </c>
    </row>
    <row r="436" spans="2:6" ht="14.4" x14ac:dyDescent="0.3">
      <c r="B436" s="36">
        <v>0.41199999999999998</v>
      </c>
      <c r="C436" s="43">
        <f t="shared" si="24"/>
        <v>9047.2132292720853</v>
      </c>
      <c r="D436" s="43">
        <f t="shared" si="25"/>
        <v>0.38011182773689534</v>
      </c>
      <c r="E436" s="43">
        <f t="shared" si="26"/>
        <v>0.16021892109476035</v>
      </c>
      <c r="F436" s="43">
        <f t="shared" si="27"/>
        <v>0.15552992361714033</v>
      </c>
    </row>
    <row r="437" spans="2:6" ht="14.4" x14ac:dyDescent="0.3">
      <c r="B437" s="36">
        <v>0.41299999999999998</v>
      </c>
      <c r="C437" s="43">
        <f t="shared" si="24"/>
        <v>9046.6703683152027</v>
      </c>
      <c r="D437" s="43">
        <f t="shared" si="25"/>
        <v>0.38002432111292989</v>
      </c>
      <c r="E437" s="43">
        <f t="shared" si="26"/>
        <v>0.16017321424931433</v>
      </c>
      <c r="F437" s="43">
        <f t="shared" si="27"/>
        <v>0.15548071978001834</v>
      </c>
    </row>
    <row r="438" spans="2:6" ht="14.4" x14ac:dyDescent="0.3">
      <c r="B438" s="36">
        <v>0.41399999999999998</v>
      </c>
      <c r="C438" s="43">
        <f t="shared" si="24"/>
        <v>9046.1277292607338</v>
      </c>
      <c r="D438" s="43">
        <f t="shared" si="25"/>
        <v>0.37993686243795488</v>
      </c>
      <c r="E438" s="43">
        <f t="shared" si="26"/>
        <v>0.16012750821036792</v>
      </c>
      <c r="F438" s="43">
        <f t="shared" si="27"/>
        <v>0.15543154214217866</v>
      </c>
    </row>
    <row r="439" spans="2:6" ht="14.4" x14ac:dyDescent="0.3">
      <c r="B439" s="36">
        <v>0.41499999999999998</v>
      </c>
      <c r="C439" s="43">
        <f t="shared" si="24"/>
        <v>9045.5853093059159</v>
      </c>
      <c r="D439" s="43">
        <f t="shared" si="25"/>
        <v>0.3798494512418239</v>
      </c>
      <c r="E439" s="43">
        <f t="shared" si="26"/>
        <v>0.16008180276464129</v>
      </c>
      <c r="F439" s="43">
        <f t="shared" si="27"/>
        <v>0.15538239044045329</v>
      </c>
    </row>
    <row r="440" spans="2:6" ht="14.4" x14ac:dyDescent="0.3">
      <c r="B440" s="36">
        <v>0.41599999999999998</v>
      </c>
      <c r="C440" s="43">
        <f t="shared" si="24"/>
        <v>9045.0431056571906</v>
      </c>
      <c r="D440" s="43">
        <f t="shared" si="25"/>
        <v>0.37976208705617437</v>
      </c>
      <c r="E440" s="43">
        <f t="shared" si="26"/>
        <v>0.16003609769920349</v>
      </c>
      <c r="F440" s="43">
        <f t="shared" si="27"/>
        <v>0.1553332644126583</v>
      </c>
    </row>
    <row r="441" spans="2:6" ht="14.4" x14ac:dyDescent="0.3">
      <c r="B441" s="36">
        <v>0.41699999999999998</v>
      </c>
      <c r="C441" s="43">
        <f t="shared" si="24"/>
        <v>9044.5011155300635</v>
      </c>
      <c r="D441" s="43">
        <f t="shared" si="25"/>
        <v>0.37967476941440381</v>
      </c>
      <c r="E441" s="43">
        <f t="shared" si="26"/>
        <v>0.1599903928014631</v>
      </c>
      <c r="F441" s="43">
        <f t="shared" si="27"/>
        <v>0.1552841637975807</v>
      </c>
    </row>
    <row r="442" spans="2:6" ht="14.4" x14ac:dyDescent="0.3">
      <c r="B442" s="36">
        <v>0.41799999999999998</v>
      </c>
      <c r="C442" s="43">
        <f t="shared" si="24"/>
        <v>9043.9593361489842</v>
      </c>
      <c r="D442" s="43">
        <f t="shared" si="25"/>
        <v>0.37958749785164714</v>
      </c>
      <c r="E442" s="43">
        <f t="shared" si="26"/>
        <v>0.15994468785915922</v>
      </c>
      <c r="F442" s="43">
        <f t="shared" si="27"/>
        <v>0.1552350883349656</v>
      </c>
    </row>
    <row r="443" spans="2:6" ht="14.4" x14ac:dyDescent="0.3">
      <c r="B443" s="36">
        <v>0.41899999999999998</v>
      </c>
      <c r="C443" s="43">
        <f t="shared" si="24"/>
        <v>9043.4177647471952</v>
      </c>
      <c r="D443" s="43">
        <f t="shared" si="25"/>
        <v>0.37950027190475322</v>
      </c>
      <c r="E443" s="43">
        <f t="shared" si="26"/>
        <v>0.1598989826603523</v>
      </c>
      <c r="F443" s="43">
        <f t="shared" si="27"/>
        <v>0.15518603776550344</v>
      </c>
    </row>
    <row r="444" spans="2:6" ht="14.4" x14ac:dyDescent="0.3">
      <c r="B444" s="36">
        <v>0.42</v>
      </c>
      <c r="C444" s="43">
        <f t="shared" si="24"/>
        <v>9042.8763985666155</v>
      </c>
      <c r="D444" s="43">
        <f t="shared" si="25"/>
        <v>0.37941309111226257</v>
      </c>
      <c r="E444" s="43">
        <f t="shared" si="26"/>
        <v>0.15985327699341495</v>
      </c>
      <c r="F444" s="43">
        <f t="shared" si="27"/>
        <v>0.15513701183081716</v>
      </c>
    </row>
    <row r="445" spans="2:6" ht="14.4" x14ac:dyDescent="0.3">
      <c r="B445" s="36">
        <v>0.42099999999999999</v>
      </c>
      <c r="C445" s="43">
        <f t="shared" si="24"/>
        <v>9042.3352348577009</v>
      </c>
      <c r="D445" s="43">
        <f t="shared" si="25"/>
        <v>0.37932595501438415</v>
      </c>
      <c r="E445" s="43">
        <f t="shared" si="26"/>
        <v>0.15980757064702311</v>
      </c>
      <c r="F445" s="43">
        <f t="shared" si="27"/>
        <v>0.15508801027344957</v>
      </c>
    </row>
    <row r="446" spans="2:6" ht="14.4" x14ac:dyDescent="0.3">
      <c r="B446" s="36">
        <v>0.42199999999999999</v>
      </c>
      <c r="C446" s="43">
        <f t="shared" si="24"/>
        <v>9041.7942708793198</v>
      </c>
      <c r="D446" s="43">
        <f t="shared" si="25"/>
        <v>0.37923886315297362</v>
      </c>
      <c r="E446" s="43">
        <f t="shared" si="26"/>
        <v>0.15976186341014692</v>
      </c>
      <c r="F446" s="43">
        <f t="shared" si="27"/>
        <v>0.15503903283685111</v>
      </c>
    </row>
    <row r="447" spans="2:6" ht="14.4" x14ac:dyDescent="0.3">
      <c r="B447" s="36">
        <v>0.42299999999999999</v>
      </c>
      <c r="C447" s="43">
        <f t="shared" si="24"/>
        <v>9041.2535038986207</v>
      </c>
      <c r="D447" s="43">
        <f t="shared" si="25"/>
        <v>0.37915181507151052</v>
      </c>
      <c r="E447" s="43">
        <f t="shared" si="26"/>
        <v>0.15971615507204179</v>
      </c>
      <c r="F447" s="43">
        <f t="shared" si="27"/>
        <v>0.15499007926536712</v>
      </c>
    </row>
    <row r="448" spans="2:6" ht="14.4" x14ac:dyDescent="0.3">
      <c r="B448" s="36">
        <v>0.42399999999999999</v>
      </c>
      <c r="C448" s="43">
        <f t="shared" si="24"/>
        <v>9040.7129311909066</v>
      </c>
      <c r="D448" s="43">
        <f t="shared" si="25"/>
        <v>0.37906481031507683</v>
      </c>
      <c r="E448" s="43">
        <f t="shared" si="26"/>
        <v>0.15967044542223954</v>
      </c>
      <c r="F448" s="43">
        <f t="shared" si="27"/>
        <v>0.15494114930422573</v>
      </c>
    </row>
    <row r="449" spans="2:6" ht="14.4" x14ac:dyDescent="0.3">
      <c r="B449" s="36">
        <v>0.42499999999999999</v>
      </c>
      <c r="C449" s="43">
        <f t="shared" si="24"/>
        <v>9040.1725500395078</v>
      </c>
      <c r="D449" s="43">
        <f t="shared" si="25"/>
        <v>0.3789778484303345</v>
      </c>
      <c r="E449" s="43">
        <f t="shared" si="26"/>
        <v>0.15962473425053961</v>
      </c>
      <c r="F449" s="43">
        <f t="shared" si="27"/>
        <v>0.15489224269952567</v>
      </c>
    </row>
    <row r="450" spans="2:6" ht="14.4" x14ac:dyDescent="0.3">
      <c r="B450" s="36">
        <v>0.42599999999999999</v>
      </c>
      <c r="C450" s="43">
        <f t="shared" si="24"/>
        <v>9039.6323577356579</v>
      </c>
      <c r="D450" s="43">
        <f t="shared" si="25"/>
        <v>0.3788909289655043</v>
      </c>
      <c r="E450" s="43">
        <f t="shared" si="26"/>
        <v>0.15957902134700017</v>
      </c>
      <c r="F450" s="43">
        <f t="shared" si="27"/>
        <v>0.15484335919822406</v>
      </c>
    </row>
    <row r="451" spans="2:6" ht="14.4" x14ac:dyDescent="0.3">
      <c r="B451" s="36">
        <v>0.42699999999999999</v>
      </c>
      <c r="C451" s="43">
        <f t="shared" si="24"/>
        <v>9039.0923515783652</v>
      </c>
      <c r="D451" s="43">
        <f t="shared" si="25"/>
        <v>0.37880405147034385</v>
      </c>
      <c r="E451" s="43">
        <f t="shared" si="26"/>
        <v>0.15953330650192929</v>
      </c>
      <c r="F451" s="43">
        <f t="shared" si="27"/>
        <v>0.15479449854812449</v>
      </c>
    </row>
    <row r="452" spans="2:6" ht="14.4" x14ac:dyDescent="0.3">
      <c r="B452" s="36">
        <v>0.42799999999999999</v>
      </c>
      <c r="C452" s="43">
        <f t="shared" si="24"/>
        <v>9038.552528874292</v>
      </c>
      <c r="D452" s="43">
        <f t="shared" si="25"/>
        <v>0.37871721549612675</v>
      </c>
      <c r="E452" s="43">
        <f t="shared" si="26"/>
        <v>0.15948758950587644</v>
      </c>
      <c r="F452" s="43">
        <f t="shared" si="27"/>
        <v>0.15474566049786515</v>
      </c>
    </row>
    <row r="453" spans="2:6" ht="14.4" x14ac:dyDescent="0.3">
      <c r="B453" s="36">
        <v>0.42899999999999999</v>
      </c>
      <c r="C453" s="43">
        <f t="shared" si="24"/>
        <v>9038.0128869376294</v>
      </c>
      <c r="D453" s="43">
        <f t="shared" si="25"/>
        <v>0.37863042059562091</v>
      </c>
      <c r="E453" s="43">
        <f t="shared" si="26"/>
        <v>0.15944187014962352</v>
      </c>
      <c r="F453" s="43">
        <f t="shared" si="27"/>
        <v>0.15469684479690679</v>
      </c>
    </row>
    <row r="454" spans="2:6" ht="14.4" x14ac:dyDescent="0.3">
      <c r="B454" s="36">
        <v>0.43</v>
      </c>
      <c r="C454" s="43">
        <f t="shared" si="24"/>
        <v>9037.4734230899776</v>
      </c>
      <c r="D454" s="43">
        <f t="shared" si="25"/>
        <v>0.37854366632306802</v>
      </c>
      <c r="E454" s="43">
        <f t="shared" si="26"/>
        <v>0.15939614822417644</v>
      </c>
      <c r="F454" s="43">
        <f t="shared" si="27"/>
        <v>0.15464805119552127</v>
      </c>
    </row>
    <row r="455" spans="2:6" ht="14.4" x14ac:dyDescent="0.3">
      <c r="B455" s="36">
        <v>0.43099999999999999</v>
      </c>
      <c r="C455" s="43">
        <f t="shared" si="24"/>
        <v>9036.9341346602178</v>
      </c>
      <c r="D455" s="43">
        <f t="shared" si="25"/>
        <v>0.3784569522341622</v>
      </c>
      <c r="E455" s="43">
        <f t="shared" si="26"/>
        <v>0.15935042352075635</v>
      </c>
      <c r="F455" s="43">
        <f t="shared" si="27"/>
        <v>0.1545992794447798</v>
      </c>
    </row>
    <row r="456" spans="2:6" ht="14.4" x14ac:dyDescent="0.3">
      <c r="B456" s="36">
        <v>0.432</v>
      </c>
      <c r="C456" s="43">
        <f t="shared" si="24"/>
        <v>9036.3950189844036</v>
      </c>
      <c r="D456" s="43">
        <f t="shared" si="25"/>
        <v>0.37837027788602995</v>
      </c>
      <c r="E456" s="43">
        <f t="shared" si="26"/>
        <v>0.15930469583079113</v>
      </c>
      <c r="F456" s="43">
        <f t="shared" si="27"/>
        <v>0.15455052929654128</v>
      </c>
    </row>
    <row r="457" spans="2:6" ht="14.4" x14ac:dyDescent="0.3">
      <c r="B457" s="36">
        <v>0.433</v>
      </c>
      <c r="C457" s="43">
        <f t="shared" si="24"/>
        <v>9035.8560734056282</v>
      </c>
      <c r="D457" s="43">
        <f t="shared" si="25"/>
        <v>0.37828364283720883</v>
      </c>
      <c r="E457" s="43">
        <f t="shared" si="26"/>
        <v>0.15925896494590686</v>
      </c>
      <c r="F457" s="43">
        <f t="shared" si="27"/>
        <v>0.15450180050344098</v>
      </c>
    </row>
    <row r="458" spans="2:6" ht="14.4" x14ac:dyDescent="0.3">
      <c r="B458" s="36">
        <v>0.434</v>
      </c>
      <c r="C458" s="43">
        <f t="shared" si="24"/>
        <v>9035.3172952739187</v>
      </c>
      <c r="D458" s="43">
        <f t="shared" si="25"/>
        <v>0.37819704664762777</v>
      </c>
      <c r="E458" s="43">
        <f t="shared" si="26"/>
        <v>0.1592132306579192</v>
      </c>
      <c r="F458" s="43">
        <f t="shared" si="27"/>
        <v>0.15445309281887917</v>
      </c>
    </row>
    <row r="459" spans="2:6" ht="14.4" x14ac:dyDescent="0.3">
      <c r="B459" s="36">
        <v>0.435</v>
      </c>
      <c r="C459" s="43">
        <f t="shared" si="24"/>
        <v>9034.7786819461016</v>
      </c>
      <c r="D459" s="43">
        <f t="shared" si="25"/>
        <v>0.37811048887858645</v>
      </c>
      <c r="E459" s="43">
        <f t="shared" si="26"/>
        <v>0.15916749275882514</v>
      </c>
      <c r="F459" s="43">
        <f t="shared" si="27"/>
        <v>0.15440440599700972</v>
      </c>
    </row>
    <row r="460" spans="2:6" ht="14.4" x14ac:dyDescent="0.3">
      <c r="B460" s="36">
        <v>0.436</v>
      </c>
      <c r="C460" s="43">
        <f t="shared" si="24"/>
        <v>9034.240230785701</v>
      </c>
      <c r="D460" s="43">
        <f t="shared" si="25"/>
        <v>0.37802396909273539</v>
      </c>
      <c r="E460" s="43">
        <f t="shared" si="26"/>
        <v>0.15912175104079423</v>
      </c>
      <c r="F460" s="43">
        <f t="shared" si="27"/>
        <v>0.15435573979272885</v>
      </c>
    </row>
    <row r="461" spans="2:6" ht="14.4" x14ac:dyDescent="0.3">
      <c r="B461" s="36">
        <v>0.437</v>
      </c>
      <c r="C461" s="43">
        <f t="shared" si="24"/>
        <v>9033.7019391628146</v>
      </c>
      <c r="D461" s="43">
        <f t="shared" si="25"/>
        <v>0.37793748685405587</v>
      </c>
      <c r="E461" s="43">
        <f t="shared" si="26"/>
        <v>0.15907600529616045</v>
      </c>
      <c r="F461" s="43">
        <f t="shared" si="27"/>
        <v>0.15430709396166417</v>
      </c>
    </row>
    <row r="462" spans="2:6" ht="14.4" x14ac:dyDescent="0.3">
      <c r="B462" s="36">
        <v>0.438</v>
      </c>
      <c r="C462" s="43">
        <f t="shared" si="24"/>
        <v>9033.1638044539977</v>
      </c>
      <c r="D462" s="43">
        <f t="shared" si="25"/>
        <v>0.37785104172784023</v>
      </c>
      <c r="E462" s="43">
        <f t="shared" si="26"/>
        <v>0.15903025531741372</v>
      </c>
      <c r="F462" s="43">
        <f t="shared" si="27"/>
        <v>0.15425846826016354</v>
      </c>
    </row>
    <row r="463" spans="2:6" ht="14.4" x14ac:dyDescent="0.3">
      <c r="B463" s="36">
        <v>0.439</v>
      </c>
      <c r="C463" s="43">
        <f t="shared" si="24"/>
        <v>9032.6258240421485</v>
      </c>
      <c r="D463" s="43">
        <f t="shared" si="25"/>
        <v>0.37776463328067234</v>
      </c>
      <c r="E463" s="43">
        <f t="shared" si="26"/>
        <v>0.15898450089719141</v>
      </c>
      <c r="F463" s="43">
        <f t="shared" si="27"/>
        <v>0.1542098624452839</v>
      </c>
    </row>
    <row r="464" spans="2:6" ht="14.4" x14ac:dyDescent="0.3">
      <c r="B464" s="36">
        <v>0.44</v>
      </c>
      <c r="C464" s="43">
        <f t="shared" si="24"/>
        <v>9032.0879953163949</v>
      </c>
      <c r="D464" s="43">
        <f t="shared" si="25"/>
        <v>0.37767826108040764</v>
      </c>
      <c r="E464" s="43">
        <f t="shared" si="26"/>
        <v>0.15893874182827022</v>
      </c>
      <c r="F464" s="43">
        <f t="shared" si="27"/>
        <v>0.15416127627478068</v>
      </c>
    </row>
    <row r="465" spans="2:6" ht="14.4" x14ac:dyDescent="0.3">
      <c r="B465" s="36">
        <v>0.441</v>
      </c>
      <c r="C465" s="43">
        <f t="shared" si="24"/>
        <v>9031.5503156719788</v>
      </c>
      <c r="D465" s="43">
        <f t="shared" si="25"/>
        <v>0.37759192469615432</v>
      </c>
      <c r="E465" s="43">
        <f t="shared" si="26"/>
        <v>0.15889297790355777</v>
      </c>
      <c r="F465" s="43">
        <f t="shared" si="27"/>
        <v>0.1541127095070968</v>
      </c>
    </row>
    <row r="466" spans="2:6" ht="14.4" x14ac:dyDescent="0.3">
      <c r="B466" s="36">
        <v>0.442</v>
      </c>
      <c r="C466" s="43">
        <f t="shared" si="24"/>
        <v>9031.0127825101481</v>
      </c>
      <c r="D466" s="43">
        <f t="shared" si="25"/>
        <v>0.37750562369825374</v>
      </c>
      <c r="E466" s="43">
        <f t="shared" si="26"/>
        <v>0.15884720891608439</v>
      </c>
      <c r="F466" s="43">
        <f t="shared" si="27"/>
        <v>0.15406416190135186</v>
      </c>
    </row>
    <row r="467" spans="2:6" ht="14.4" x14ac:dyDescent="0.3">
      <c r="B467" s="36">
        <v>0.443</v>
      </c>
      <c r="C467" s="43">
        <f t="shared" si="24"/>
        <v>9030.4753932380336</v>
      </c>
      <c r="D467" s="43">
        <f t="shared" si="25"/>
        <v>0.37741935765826118</v>
      </c>
      <c r="E467" s="43">
        <f t="shared" si="26"/>
        <v>0.15880143465899466</v>
      </c>
      <c r="F467" s="43">
        <f t="shared" si="27"/>
        <v>0.15401563321733158</v>
      </c>
    </row>
    <row r="468" spans="2:6" ht="14.4" x14ac:dyDescent="0.3">
      <c r="B468" s="36">
        <v>0.44400000000000001</v>
      </c>
      <c r="C468" s="43">
        <f t="shared" si="24"/>
        <v>9029.9381452685502</v>
      </c>
      <c r="D468" s="43">
        <f t="shared" si="25"/>
        <v>0.37733312614892733</v>
      </c>
      <c r="E468" s="43">
        <f t="shared" si="26"/>
        <v>0.15875565492553939</v>
      </c>
      <c r="F468" s="43">
        <f t="shared" si="27"/>
        <v>0.15396712321547709</v>
      </c>
    </row>
    <row r="469" spans="2:6" ht="14.4" x14ac:dyDescent="0.3">
      <c r="B469" s="36">
        <v>0.44500000000000001</v>
      </c>
      <c r="C469" s="43">
        <f t="shared" si="24"/>
        <v>9029.4010360202756</v>
      </c>
      <c r="D469" s="43">
        <f t="shared" si="25"/>
        <v>0.37724692874417892</v>
      </c>
      <c r="E469" s="43">
        <f t="shared" si="26"/>
        <v>0.15870986950906746</v>
      </c>
      <c r="F469" s="43">
        <f t="shared" si="27"/>
        <v>0.15391863165687444</v>
      </c>
    </row>
    <row r="470" spans="2:6" ht="14.4" x14ac:dyDescent="0.3">
      <c r="B470" s="36">
        <v>0.44600000000000001</v>
      </c>
      <c r="C470" s="43">
        <f t="shared" si="24"/>
        <v>9028.864062917346</v>
      </c>
      <c r="D470" s="43">
        <f t="shared" si="25"/>
        <v>0.37716076501910029</v>
      </c>
      <c r="E470" s="43">
        <f t="shared" si="26"/>
        <v>0.15866407820301742</v>
      </c>
      <c r="F470" s="43">
        <f t="shared" si="27"/>
        <v>0.15387015830324413</v>
      </c>
    </row>
    <row r="471" spans="2:6" ht="14.4" x14ac:dyDescent="0.3">
      <c r="B471" s="36">
        <v>0.44700000000000001</v>
      </c>
      <c r="C471" s="43">
        <f t="shared" si="24"/>
        <v>9028.3272233893422</v>
      </c>
      <c r="D471" s="43">
        <f t="shared" si="25"/>
        <v>0.37707463454991452</v>
      </c>
      <c r="E471" s="43">
        <f t="shared" si="26"/>
        <v>0.15861828080090934</v>
      </c>
      <c r="F471" s="43">
        <f t="shared" si="27"/>
        <v>0.15382170291693059</v>
      </c>
    </row>
    <row r="472" spans="2:6" ht="14.4" x14ac:dyDescent="0.3">
      <c r="B472" s="36">
        <v>0.44800000000000001</v>
      </c>
      <c r="C472" s="43">
        <f t="shared" si="24"/>
        <v>9027.7905148711834</v>
      </c>
      <c r="D472" s="43">
        <f t="shared" si="25"/>
        <v>0.37698853691396522</v>
      </c>
      <c r="E472" s="43">
        <f t="shared" si="26"/>
        <v>0.15857247709633698</v>
      </c>
      <c r="F472" s="43">
        <f t="shared" si="27"/>
        <v>0.15377326526089197</v>
      </c>
    </row>
    <row r="473" spans="2:6" ht="14.4" x14ac:dyDescent="0.3">
      <c r="B473" s="36">
        <v>0.44900000000000001</v>
      </c>
      <c r="C473" s="43">
        <f t="shared" ref="C473:C536" si="28">_xlfn.BETA.INV((1-B473),$C$7,$C$8)*($C$5-$C$3)+$C$3</f>
        <v>9027.2539348030168</v>
      </c>
      <c r="D473" s="43">
        <f t="shared" ref="D473:D536" si="29">_xlfn.BETA.INV((1-B473),$D$7,$D$8)*($D$5-$D$3)+$D$3</f>
        <v>0.37690247168969793</v>
      </c>
      <c r="E473" s="43">
        <f t="shared" ref="E473:E536" si="30">_xlfn.BETA.INV((1-B473),$E$7,$E$8)*($E$5-$E$3)+$E$3</f>
        <v>0.15852666688295922</v>
      </c>
      <c r="F473" s="43">
        <f t="shared" ref="F473:F536" si="31">_xlfn.BETA.INV((1-B473),$F$7,$F$8)*($F$5-$F$3)+$F$3</f>
        <v>0.15372484509868972</v>
      </c>
    </row>
    <row r="474" spans="2:6" ht="14.4" x14ac:dyDescent="0.3">
      <c r="B474" s="36">
        <v>0.45</v>
      </c>
      <c r="C474" s="43">
        <f t="shared" si="28"/>
        <v>9026.7174806301082</v>
      </c>
      <c r="D474" s="43">
        <f t="shared" si="29"/>
        <v>0.37681643845664187</v>
      </c>
      <c r="E474" s="43">
        <f t="shared" si="30"/>
        <v>0.1584808499544923</v>
      </c>
      <c r="F474" s="43">
        <f t="shared" si="31"/>
        <v>0.1536764421944786</v>
      </c>
    </row>
    <row r="475" spans="2:6" ht="14.4" x14ac:dyDescent="0.3">
      <c r="B475" s="36">
        <v>0.45100000000000001</v>
      </c>
      <c r="C475" s="43">
        <f t="shared" si="28"/>
        <v>9026.1811498027382</v>
      </c>
      <c r="D475" s="43">
        <f t="shared" si="29"/>
        <v>0.3767304367953917</v>
      </c>
      <c r="E475" s="43">
        <f t="shared" si="30"/>
        <v>0.15843502610470156</v>
      </c>
      <c r="F475" s="43">
        <f t="shared" si="31"/>
        <v>0.15362805631299614</v>
      </c>
    </row>
    <row r="476" spans="2:6" ht="14.4" x14ac:dyDescent="0.3">
      <c r="B476" s="36">
        <v>0.45200000000000001</v>
      </c>
      <c r="C476" s="43">
        <f t="shared" si="28"/>
        <v>9025.6449397760898</v>
      </c>
      <c r="D476" s="43">
        <f t="shared" si="29"/>
        <v>0.37664446628758985</v>
      </c>
      <c r="E476" s="43">
        <f t="shared" si="30"/>
        <v>0.15838919512739344</v>
      </c>
      <c r="F476" s="43">
        <f t="shared" si="31"/>
        <v>0.15357968721955295</v>
      </c>
    </row>
    <row r="477" spans="2:6" ht="14.4" x14ac:dyDescent="0.3">
      <c r="B477" s="36">
        <v>0.45300000000000001</v>
      </c>
      <c r="C477" s="43">
        <f t="shared" si="28"/>
        <v>9025.1088480101516</v>
      </c>
      <c r="D477" s="43">
        <f t="shared" si="29"/>
        <v>0.37655852651590799</v>
      </c>
      <c r="E477" s="43">
        <f t="shared" si="30"/>
        <v>0.15834335681640729</v>
      </c>
      <c r="F477" s="43">
        <f t="shared" si="31"/>
        <v>0.15353133468002239</v>
      </c>
    </row>
    <row r="478" spans="2:6" ht="14.4" x14ac:dyDescent="0.3">
      <c r="B478" s="36">
        <v>0.45400000000000001</v>
      </c>
      <c r="C478" s="43">
        <f t="shared" si="28"/>
        <v>9024.5728719695962</v>
      </c>
      <c r="D478" s="43">
        <f t="shared" si="29"/>
        <v>0.37647261706402957</v>
      </c>
      <c r="E478" s="43">
        <f t="shared" si="30"/>
        <v>0.15829751096560757</v>
      </c>
      <c r="F478" s="43">
        <f t="shared" si="31"/>
        <v>0.15348299846083074</v>
      </c>
    </row>
    <row r="479" spans="2:6" ht="14.4" x14ac:dyDescent="0.3">
      <c r="B479" s="36">
        <v>0.45500000000000002</v>
      </c>
      <c r="C479" s="43">
        <f t="shared" si="28"/>
        <v>9024.037009123691</v>
      </c>
      <c r="D479" s="43">
        <f t="shared" si="29"/>
        <v>0.37638673751663215</v>
      </c>
      <c r="E479" s="43">
        <f t="shared" si="30"/>
        <v>0.15825165736887553</v>
      </c>
      <c r="F479" s="43">
        <f t="shared" si="31"/>
        <v>0.15343467832894719</v>
      </c>
    </row>
    <row r="480" spans="2:6" ht="14.4" x14ac:dyDescent="0.3">
      <c r="B480" s="36">
        <v>0.45600000000000002</v>
      </c>
      <c r="C480" s="43">
        <f t="shared" si="28"/>
        <v>9023.5012569461833</v>
      </c>
      <c r="D480" s="43">
        <f t="shared" si="29"/>
        <v>0.3763008874593694</v>
      </c>
      <c r="E480" s="43">
        <f t="shared" si="30"/>
        <v>0.15820579582010152</v>
      </c>
      <c r="F480" s="43">
        <f t="shared" si="31"/>
        <v>0.15338637405187405</v>
      </c>
    </row>
    <row r="481" spans="2:6" ht="14.4" x14ac:dyDescent="0.3">
      <c r="B481" s="36">
        <v>0.45700000000000002</v>
      </c>
      <c r="C481" s="43">
        <f t="shared" si="28"/>
        <v>9022.965612915199</v>
      </c>
      <c r="D481" s="43">
        <f t="shared" si="29"/>
        <v>0.37621506647885378</v>
      </c>
      <c r="E481" s="43">
        <f t="shared" si="30"/>
        <v>0.15815992611317661</v>
      </c>
      <c r="F481" s="43">
        <f t="shared" si="31"/>
        <v>0.15333808539763677</v>
      </c>
    </row>
    <row r="482" spans="2:6" ht="14.4" x14ac:dyDescent="0.3">
      <c r="B482" s="36">
        <v>0.45800000000000002</v>
      </c>
      <c r="C482" s="43">
        <f t="shared" si="28"/>
        <v>9022.4300745131386</v>
      </c>
      <c r="D482" s="43">
        <f t="shared" si="29"/>
        <v>0.3761292741626393</v>
      </c>
      <c r="E482" s="43">
        <f t="shared" si="30"/>
        <v>0.15811404804198498</v>
      </c>
      <c r="F482" s="43">
        <f t="shared" si="31"/>
        <v>0.15328981213477447</v>
      </c>
    </row>
    <row r="483" spans="2:6" ht="14.4" x14ac:dyDescent="0.3">
      <c r="B483" s="36">
        <v>0.45900000000000002</v>
      </c>
      <c r="C483" s="43">
        <f t="shared" si="28"/>
        <v>9021.8946392265716</v>
      </c>
      <c r="D483" s="43">
        <f t="shared" si="29"/>
        <v>0.37604351009920362</v>
      </c>
      <c r="E483" s="43">
        <f t="shared" si="30"/>
        <v>0.15806816140039562</v>
      </c>
      <c r="F483" s="43">
        <f t="shared" si="31"/>
        <v>0.15324155403232986</v>
      </c>
    </row>
    <row r="484" spans="2:6" ht="14.4" x14ac:dyDescent="0.3">
      <c r="B484" s="36">
        <v>0.46</v>
      </c>
      <c r="C484" s="43">
        <f t="shared" si="28"/>
        <v>9021.3593045461384</v>
      </c>
      <c r="D484" s="43">
        <f t="shared" si="29"/>
        <v>0.37595777387793139</v>
      </c>
      <c r="E484" s="43">
        <f t="shared" si="30"/>
        <v>0.15802226598225458</v>
      </c>
      <c r="F484" s="43">
        <f t="shared" si="31"/>
        <v>0.15319331085983995</v>
      </c>
    </row>
    <row r="485" spans="2:6" ht="14.4" x14ac:dyDescent="0.3">
      <c r="B485" s="36">
        <v>0.46100000000000002</v>
      </c>
      <c r="C485" s="43">
        <f t="shared" si="28"/>
        <v>9020.8240679664414</v>
      </c>
      <c r="D485" s="43">
        <f t="shared" si="29"/>
        <v>0.37587206508909671</v>
      </c>
      <c r="E485" s="43">
        <f t="shared" si="30"/>
        <v>0.15797636158137685</v>
      </c>
      <c r="F485" s="43">
        <f t="shared" si="31"/>
        <v>0.1531450823873261</v>
      </c>
    </row>
    <row r="486" spans="2:6" ht="14.4" x14ac:dyDescent="0.3">
      <c r="B486" s="36">
        <v>0.46200000000000002</v>
      </c>
      <c r="C486" s="43">
        <f t="shared" si="28"/>
        <v>9020.2889269859479</v>
      </c>
      <c r="D486" s="43">
        <f t="shared" si="29"/>
        <v>0.37578638332384617</v>
      </c>
      <c r="E486" s="43">
        <f t="shared" si="30"/>
        <v>0.15793044799153849</v>
      </c>
      <c r="F486" s="43">
        <f t="shared" si="31"/>
        <v>0.15309686838528475</v>
      </c>
    </row>
    <row r="487" spans="2:6" ht="14.4" x14ac:dyDescent="0.3">
      <c r="B487" s="36">
        <v>0.46300000000000002</v>
      </c>
      <c r="C487" s="43">
        <f t="shared" si="28"/>
        <v>9019.7538791068819</v>
      </c>
      <c r="D487" s="43">
        <f t="shared" si="29"/>
        <v>0.37570072817418182</v>
      </c>
      <c r="E487" s="43">
        <f t="shared" si="30"/>
        <v>0.15788452500646877</v>
      </c>
      <c r="F487" s="43">
        <f t="shared" si="31"/>
        <v>0.15304866862467764</v>
      </c>
    </row>
    <row r="488" spans="2:6" ht="14.4" x14ac:dyDescent="0.3">
      <c r="B488" s="36">
        <v>0.46400000000000002</v>
      </c>
      <c r="C488" s="43">
        <f t="shared" si="28"/>
        <v>9019.2189218351359</v>
      </c>
      <c r="D488" s="43">
        <f t="shared" si="29"/>
        <v>0.37561509923294439</v>
      </c>
      <c r="E488" s="43">
        <f t="shared" si="30"/>
        <v>0.15783859241984194</v>
      </c>
      <c r="F488" s="43">
        <f t="shared" si="31"/>
        <v>0.15300048287692264</v>
      </c>
    </row>
    <row r="489" spans="2:6" ht="14.4" x14ac:dyDescent="0.3">
      <c r="B489" s="36">
        <v>0.46500000000000002</v>
      </c>
      <c r="C489" s="43">
        <f t="shared" si="28"/>
        <v>9018.6840526801498</v>
      </c>
      <c r="D489" s="43">
        <f t="shared" si="29"/>
        <v>0.37552949609379627</v>
      </c>
      <c r="E489" s="43">
        <f t="shared" si="30"/>
        <v>0.15779265002526963</v>
      </c>
      <c r="F489" s="43">
        <f t="shared" si="31"/>
        <v>0.15295231091388398</v>
      </c>
    </row>
    <row r="490" spans="2:6" ht="14.4" x14ac:dyDescent="0.3">
      <c r="B490" s="36">
        <v>0.46600000000000003</v>
      </c>
      <c r="C490" s="43">
        <f t="shared" si="28"/>
        <v>9018.1492691548301</v>
      </c>
      <c r="D490" s="43">
        <f t="shared" si="29"/>
        <v>0.37544391835120494</v>
      </c>
      <c r="E490" s="43">
        <f t="shared" si="30"/>
        <v>0.15774669761629267</v>
      </c>
      <c r="F490" s="43">
        <f t="shared" si="31"/>
        <v>0.15290415250786313</v>
      </c>
    </row>
    <row r="491" spans="2:6" ht="14.4" x14ac:dyDescent="0.3">
      <c r="B491" s="36">
        <v>0.46700000000000003</v>
      </c>
      <c r="C491" s="43">
        <f t="shared" si="28"/>
        <v>9017.6145687754397</v>
      </c>
      <c r="D491" s="43">
        <f t="shared" si="29"/>
        <v>0.37535836560042618</v>
      </c>
      <c r="E491" s="43">
        <f t="shared" si="30"/>
        <v>0.15770073498637333</v>
      </c>
      <c r="F491" s="43">
        <f t="shared" si="31"/>
        <v>0.15285600743158945</v>
      </c>
    </row>
    <row r="492" spans="2:6" ht="14.4" x14ac:dyDescent="0.3">
      <c r="B492" s="36">
        <v>0.46800000000000003</v>
      </c>
      <c r="C492" s="43">
        <f t="shared" si="28"/>
        <v>9017.0799490614936</v>
      </c>
      <c r="D492" s="43">
        <f t="shared" si="29"/>
        <v>0.37527283743748763</v>
      </c>
      <c r="E492" s="43">
        <f t="shared" si="30"/>
        <v>0.15765476192888722</v>
      </c>
      <c r="F492" s="43">
        <f t="shared" si="31"/>
        <v>0.15280787545821076</v>
      </c>
    </row>
    <row r="493" spans="2:6" ht="14.4" x14ac:dyDescent="0.3">
      <c r="B493" s="36">
        <v>0.46899999999999997</v>
      </c>
      <c r="C493" s="43">
        <f t="shared" si="28"/>
        <v>9016.5454075356738</v>
      </c>
      <c r="D493" s="43">
        <f t="shared" si="29"/>
        <v>0.37518733345917205</v>
      </c>
      <c r="E493" s="43">
        <f t="shared" si="30"/>
        <v>0.15760877823711555</v>
      </c>
      <c r="F493" s="43">
        <f t="shared" si="31"/>
        <v>0.15275975636128417</v>
      </c>
    </row>
    <row r="494" spans="2:6" ht="14.4" x14ac:dyDescent="0.3">
      <c r="B494" s="36">
        <v>0.47</v>
      </c>
      <c r="C494" s="43">
        <f t="shared" si="28"/>
        <v>9016.0109417237127</v>
      </c>
      <c r="D494" s="43">
        <f t="shared" si="29"/>
        <v>0.37510185326300116</v>
      </c>
      <c r="E494" s="43">
        <f t="shared" si="30"/>
        <v>0.15756278370423707</v>
      </c>
      <c r="F494" s="43">
        <f t="shared" si="31"/>
        <v>0.15271164991476679</v>
      </c>
    </row>
    <row r="495" spans="2:6" ht="14.4" x14ac:dyDescent="0.3">
      <c r="B495" s="36">
        <v>0.47099999999999997</v>
      </c>
      <c r="C495" s="43">
        <f t="shared" si="28"/>
        <v>9015.4765491543094</v>
      </c>
      <c r="D495" s="43">
        <f t="shared" si="29"/>
        <v>0.37501639644721907</v>
      </c>
      <c r="E495" s="43">
        <f t="shared" si="30"/>
        <v>0.15751677812332024</v>
      </c>
      <c r="F495" s="43">
        <f t="shared" si="31"/>
        <v>0.15266355589300679</v>
      </c>
    </row>
    <row r="496" spans="2:6" ht="14.4" x14ac:dyDescent="0.3">
      <c r="B496" s="36">
        <v>0.47199999999999998</v>
      </c>
      <c r="C496" s="43">
        <f t="shared" si="28"/>
        <v>9014.9422273590244</v>
      </c>
      <c r="D496" s="43">
        <f t="shared" si="29"/>
        <v>0.37493096261077602</v>
      </c>
      <c r="E496" s="43">
        <f t="shared" si="30"/>
        <v>0.15747076128731524</v>
      </c>
      <c r="F496" s="43">
        <f t="shared" si="31"/>
        <v>0.15261547407073395</v>
      </c>
    </row>
    <row r="497" spans="2:6" ht="14.4" x14ac:dyDescent="0.3">
      <c r="B497" s="36">
        <v>0.47299999999999998</v>
      </c>
      <c r="C497" s="43">
        <f t="shared" si="28"/>
        <v>9014.4079738721757</v>
      </c>
      <c r="D497" s="43">
        <f t="shared" si="29"/>
        <v>0.37484555135331221</v>
      </c>
      <c r="E497" s="43">
        <f t="shared" si="30"/>
        <v>0.15742473298904602</v>
      </c>
      <c r="F497" s="43">
        <f t="shared" si="31"/>
        <v>0.15256740422305076</v>
      </c>
    </row>
    <row r="498" spans="2:6" ht="14.4" x14ac:dyDescent="0.3">
      <c r="B498" s="36">
        <v>0.47399999999999998</v>
      </c>
      <c r="C498" s="43">
        <f t="shared" si="28"/>
        <v>9013.8737862307535</v>
      </c>
      <c r="D498" s="43">
        <f t="shared" si="29"/>
        <v>0.37476016227514169</v>
      </c>
      <c r="E498" s="43">
        <f t="shared" si="30"/>
        <v>0.15737869302120258</v>
      </c>
      <c r="F498" s="43">
        <f t="shared" si="31"/>
        <v>0.15251934612542331</v>
      </c>
    </row>
    <row r="499" spans="2:6" ht="14.4" x14ac:dyDescent="0.3">
      <c r="B499" s="36">
        <v>0.47499999999999998</v>
      </c>
      <c r="C499" s="43">
        <f t="shared" si="28"/>
        <v>9013.3396619743144</v>
      </c>
      <c r="D499" s="43">
        <f t="shared" si="29"/>
        <v>0.37467479497723605</v>
      </c>
      <c r="E499" s="43">
        <f t="shared" si="30"/>
        <v>0.15733264117633269</v>
      </c>
      <c r="F499" s="43">
        <f t="shared" si="31"/>
        <v>0.15247129955367225</v>
      </c>
    </row>
    <row r="500" spans="2:6" ht="14.4" x14ac:dyDescent="0.3">
      <c r="B500" s="36">
        <v>0.47599999999999998</v>
      </c>
      <c r="C500" s="43">
        <f t="shared" si="28"/>
        <v>9012.8055986448817</v>
      </c>
      <c r="D500" s="43">
        <f t="shared" si="29"/>
        <v>0.37458944906120856</v>
      </c>
      <c r="E500" s="43">
        <f t="shared" si="30"/>
        <v>0.15728657724683426</v>
      </c>
      <c r="F500" s="43">
        <f t="shared" si="31"/>
        <v>0.15242326428396383</v>
      </c>
    </row>
    <row r="501" spans="2:6" ht="14.4" x14ac:dyDescent="0.3">
      <c r="B501" s="36">
        <v>0.47699999999999998</v>
      </c>
      <c r="C501" s="43">
        <f t="shared" si="28"/>
        <v>9012.2715937868543</v>
      </c>
      <c r="D501" s="43">
        <f t="shared" si="29"/>
        <v>0.37450412412929818</v>
      </c>
      <c r="E501" s="43">
        <f t="shared" si="30"/>
        <v>0.15724050102494727</v>
      </c>
      <c r="F501" s="43">
        <f t="shared" si="31"/>
        <v>0.1523752400928009</v>
      </c>
    </row>
    <row r="502" spans="2:6" ht="14.4" x14ac:dyDescent="0.3">
      <c r="B502" s="36">
        <v>0.47799999999999998</v>
      </c>
      <c r="C502" s="43">
        <f t="shared" si="28"/>
        <v>9011.737644946912</v>
      </c>
      <c r="D502" s="43">
        <f t="shared" si="29"/>
        <v>0.37441881978435354</v>
      </c>
      <c r="E502" s="43">
        <f t="shared" si="30"/>
        <v>0.15719441230274583</v>
      </c>
      <c r="F502" s="43">
        <f t="shared" si="31"/>
        <v>0.15232722675701393</v>
      </c>
    </row>
    <row r="503" spans="2:6" ht="14.4" x14ac:dyDescent="0.3">
      <c r="B503" s="36">
        <v>0.47899999999999998</v>
      </c>
      <c r="C503" s="43">
        <f t="shared" si="28"/>
        <v>9011.2037496739049</v>
      </c>
      <c r="D503" s="43">
        <f t="shared" si="29"/>
        <v>0.3743335356298173</v>
      </c>
      <c r="E503" s="43">
        <f t="shared" si="30"/>
        <v>0.15714831087213033</v>
      </c>
      <c r="F503" s="43">
        <f t="shared" si="31"/>
        <v>0.15227922405375227</v>
      </c>
    </row>
    <row r="504" spans="2:6" ht="14.4" x14ac:dyDescent="0.3">
      <c r="B504" s="36">
        <v>0.48</v>
      </c>
      <c r="C504" s="43">
        <f t="shared" si="28"/>
        <v>9010.6699055187764</v>
      </c>
      <c r="D504" s="43">
        <f t="shared" si="29"/>
        <v>0.37424827126970994</v>
      </c>
      <c r="E504" s="43">
        <f t="shared" si="30"/>
        <v>0.15710219652481927</v>
      </c>
      <c r="F504" s="43">
        <f t="shared" si="31"/>
        <v>0.15223123176047521</v>
      </c>
    </row>
    <row r="505" spans="2:6" ht="14.4" x14ac:dyDescent="0.3">
      <c r="B505" s="36">
        <v>0.48099999999999998</v>
      </c>
      <c r="C505" s="43">
        <f t="shared" si="28"/>
        <v>9010.1361100344493</v>
      </c>
      <c r="D505" s="43">
        <f t="shared" si="29"/>
        <v>0.37416302630861453</v>
      </c>
      <c r="E505" s="43">
        <f t="shared" si="30"/>
        <v>0.15705606905234151</v>
      </c>
      <c r="F505" s="43">
        <f t="shared" si="31"/>
        <v>0.15218324965494301</v>
      </c>
    </row>
    <row r="506" spans="2:6" ht="14.4" x14ac:dyDescent="0.3">
      <c r="B506" s="36">
        <v>0.48199999999999998</v>
      </c>
      <c r="C506" s="43">
        <f t="shared" si="28"/>
        <v>9009.6023607757415</v>
      </c>
      <c r="D506" s="43">
        <f t="shared" si="29"/>
        <v>0.37407780035166061</v>
      </c>
      <c r="E506" s="43">
        <f t="shared" si="30"/>
        <v>0.15700992824602822</v>
      </c>
      <c r="F506" s="43">
        <f t="shared" si="31"/>
        <v>0.15213527751520828</v>
      </c>
    </row>
    <row r="507" spans="2:6" ht="14.4" x14ac:dyDescent="0.3">
      <c r="B507" s="36">
        <v>0.48299999999999998</v>
      </c>
      <c r="C507" s="43">
        <f t="shared" si="28"/>
        <v>9009.0686552992647</v>
      </c>
      <c r="D507" s="43">
        <f t="shared" si="29"/>
        <v>0.37399259300450877</v>
      </c>
      <c r="E507" s="43">
        <f t="shared" si="30"/>
        <v>0.15696377389700483</v>
      </c>
      <c r="F507" s="43">
        <f t="shared" si="31"/>
        <v>0.15208731511960707</v>
      </c>
    </row>
    <row r="508" spans="2:6" ht="14.4" x14ac:dyDescent="0.3">
      <c r="B508" s="36">
        <v>0.48399999999999999</v>
      </c>
      <c r="C508" s="43">
        <f t="shared" si="28"/>
        <v>9008.534991163333</v>
      </c>
      <c r="D508" s="43">
        <f t="shared" si="29"/>
        <v>0.37390740387333499</v>
      </c>
      <c r="E508" s="43">
        <f t="shared" si="30"/>
        <v>0.15691760579618316</v>
      </c>
      <c r="F508" s="43">
        <f t="shared" si="31"/>
        <v>0.15203936224675024</v>
      </c>
    </row>
    <row r="509" spans="2:6" ht="14.4" x14ac:dyDescent="0.3">
      <c r="B509" s="36">
        <v>0.48499999999999999</v>
      </c>
      <c r="C509" s="43">
        <f t="shared" si="28"/>
        <v>9008.0013659278611</v>
      </c>
      <c r="D509" s="43">
        <f t="shared" si="29"/>
        <v>0.37382223256481495</v>
      </c>
      <c r="E509" s="43">
        <f t="shared" si="30"/>
        <v>0.15687142373425325</v>
      </c>
      <c r="F509" s="43">
        <f t="shared" si="31"/>
        <v>0.15199141867551458</v>
      </c>
    </row>
    <row r="510" spans="2:6" ht="14.4" x14ac:dyDescent="0.3">
      <c r="B510" s="36">
        <v>0.48599999999999999</v>
      </c>
      <c r="C510" s="43">
        <f t="shared" si="28"/>
        <v>9007.4677771542756</v>
      </c>
      <c r="D510" s="43">
        <f t="shared" si="29"/>
        <v>0.37373707868610884</v>
      </c>
      <c r="E510" s="43">
        <f t="shared" si="30"/>
        <v>0.1568252275016756</v>
      </c>
      <c r="F510" s="43">
        <f t="shared" si="31"/>
        <v>0.15194348418503417</v>
      </c>
    </row>
    <row r="511" spans="2:6" ht="14.4" x14ac:dyDescent="0.3">
      <c r="B511" s="36">
        <v>0.48699999999999999</v>
      </c>
      <c r="C511" s="43">
        <f t="shared" si="28"/>
        <v>9006.9342224054162</v>
      </c>
      <c r="D511" s="43">
        <f t="shared" si="29"/>
        <v>0.37365194184484563</v>
      </c>
      <c r="E511" s="43">
        <f t="shared" si="30"/>
        <v>0.15677901688867282</v>
      </c>
      <c r="F511" s="43">
        <f t="shared" si="31"/>
        <v>0.15189555855469175</v>
      </c>
    </row>
    <row r="512" spans="2:6" ht="14.4" x14ac:dyDescent="0.3">
      <c r="B512" s="36">
        <v>0.48799999999999999</v>
      </c>
      <c r="C512" s="43">
        <f t="shared" si="28"/>
        <v>9006.4006992454415</v>
      </c>
      <c r="D512" s="43">
        <f t="shared" si="29"/>
        <v>0.37356682164910771</v>
      </c>
      <c r="E512" s="43">
        <f t="shared" si="30"/>
        <v>0.15673279168522186</v>
      </c>
      <c r="F512" s="43">
        <f t="shared" si="31"/>
        <v>0.15184764156410996</v>
      </c>
    </row>
    <row r="513" spans="2:6" ht="14.4" x14ac:dyDescent="0.3">
      <c r="B513" s="36">
        <v>0.48899999999999999</v>
      </c>
      <c r="C513" s="43">
        <f t="shared" si="28"/>
        <v>9005.867205239736</v>
      </c>
      <c r="D513" s="43">
        <f t="shared" si="29"/>
        <v>0.37348171770741545</v>
      </c>
      <c r="E513" s="43">
        <f t="shared" si="30"/>
        <v>0.15668655168104575</v>
      </c>
      <c r="F513" s="43">
        <f t="shared" si="31"/>
        <v>0.15179973299314276</v>
      </c>
    </row>
    <row r="514" spans="2:6" ht="14.4" x14ac:dyDescent="0.3">
      <c r="B514" s="36">
        <v>0.49</v>
      </c>
      <c r="C514" s="43">
        <f t="shared" si="28"/>
        <v>9005.3337379548102</v>
      </c>
      <c r="D514" s="43">
        <f t="shared" si="29"/>
        <v>0.37339662962871212</v>
      </c>
      <c r="E514" s="43">
        <f t="shared" si="30"/>
        <v>0.15664029666560567</v>
      </c>
      <c r="F514" s="43">
        <f t="shared" si="31"/>
        <v>0.15175183262186673</v>
      </c>
    </row>
    <row r="515" spans="2:6" ht="14.4" x14ac:dyDescent="0.3">
      <c r="B515" s="36">
        <v>0.49099999999999999</v>
      </c>
      <c r="C515" s="43">
        <f t="shared" si="28"/>
        <v>9004.8002949582133</v>
      </c>
      <c r="D515" s="43">
        <f t="shared" si="29"/>
        <v>0.37331155702234836</v>
      </c>
      <c r="E515" s="43">
        <f t="shared" si="30"/>
        <v>0.15659402642809281</v>
      </c>
      <c r="F515" s="43">
        <f t="shared" si="31"/>
        <v>0.15170394023057265</v>
      </c>
    </row>
    <row r="516" spans="2:6" ht="14.4" x14ac:dyDescent="0.3">
      <c r="B516" s="36">
        <v>0.49199999999999999</v>
      </c>
      <c r="C516" s="43">
        <f t="shared" si="28"/>
        <v>9004.2668738184348</v>
      </c>
      <c r="D516" s="43">
        <f t="shared" si="29"/>
        <v>0.37322649949806674</v>
      </c>
      <c r="E516" s="43">
        <f t="shared" si="30"/>
        <v>0.15654774075742023</v>
      </c>
      <c r="F516" s="43">
        <f t="shared" si="31"/>
        <v>0.15165605559975678</v>
      </c>
    </row>
    <row r="517" spans="2:6" ht="14.4" x14ac:dyDescent="0.3">
      <c r="B517" s="36">
        <v>0.49299999999999999</v>
      </c>
      <c r="C517" s="43">
        <f t="shared" si="28"/>
        <v>9003.7334721048064</v>
      </c>
      <c r="D517" s="43">
        <f t="shared" si="29"/>
        <v>0.37314145666598686</v>
      </c>
      <c r="E517" s="43">
        <f t="shared" si="30"/>
        <v>0.15650143944221473</v>
      </c>
      <c r="F517" s="43">
        <f t="shared" si="31"/>
        <v>0.15160817851011224</v>
      </c>
    </row>
    <row r="518" spans="2:6" ht="14.4" x14ac:dyDescent="0.3">
      <c r="B518" s="36">
        <v>0.49399999999999999</v>
      </c>
      <c r="C518" s="43">
        <f t="shared" si="28"/>
        <v>9003.2000873874185</v>
      </c>
      <c r="D518" s="43">
        <f t="shared" si="29"/>
        <v>0.37305642813659023</v>
      </c>
      <c r="E518" s="43">
        <f t="shared" si="30"/>
        <v>0.15645512227080885</v>
      </c>
      <c r="F518" s="43">
        <f t="shared" si="31"/>
        <v>0.15156030874252063</v>
      </c>
    </row>
    <row r="519" spans="2:6" ht="14.4" x14ac:dyDescent="0.3">
      <c r="B519" s="36">
        <v>0.495</v>
      </c>
      <c r="C519" s="43">
        <f t="shared" si="28"/>
        <v>9002.6667172370126</v>
      </c>
      <c r="D519" s="43">
        <f t="shared" si="29"/>
        <v>0.37297141352070445</v>
      </c>
      <c r="E519" s="43">
        <f t="shared" si="30"/>
        <v>0.1564087890312324</v>
      </c>
      <c r="F519" s="43">
        <f t="shared" si="31"/>
        <v>0.15151244607804337</v>
      </c>
    </row>
    <row r="520" spans="2:6" ht="14.4" x14ac:dyDescent="0.3">
      <c r="B520" s="36">
        <v>0.496</v>
      </c>
      <c r="C520" s="43">
        <f t="shared" si="28"/>
        <v>9002.1333592248993</v>
      </c>
      <c r="D520" s="43">
        <f t="shared" si="29"/>
        <v>0.37288641242948889</v>
      </c>
      <c r="E520" s="43">
        <f t="shared" si="30"/>
        <v>0.15636243951120468</v>
      </c>
      <c r="F520" s="43">
        <f t="shared" si="31"/>
        <v>0.1514645902979132</v>
      </c>
    </row>
    <row r="521" spans="2:6" ht="14.4" x14ac:dyDescent="0.3">
      <c r="B521" s="36">
        <v>0.497</v>
      </c>
      <c r="C521" s="43">
        <f t="shared" si="28"/>
        <v>9001.6000109228571</v>
      </c>
      <c r="D521" s="43">
        <f t="shared" si="29"/>
        <v>0.372801424474419</v>
      </c>
      <c r="E521" s="43">
        <f t="shared" si="30"/>
        <v>0.1563160734981259</v>
      </c>
      <c r="F521" s="43">
        <f t="shared" si="31"/>
        <v>0.15141674118352583</v>
      </c>
    </row>
    <row r="522" spans="2:6" ht="14.4" x14ac:dyDescent="0.3">
      <c r="B522" s="36">
        <v>0.498</v>
      </c>
      <c r="C522" s="43">
        <f t="shared" si="28"/>
        <v>9001.0666699030371</v>
      </c>
      <c r="D522" s="43">
        <f t="shared" si="29"/>
        <v>0.37271644926727143</v>
      </c>
      <c r="E522" s="43">
        <f t="shared" si="30"/>
        <v>0.15626969077906921</v>
      </c>
      <c r="F522" s="43">
        <f t="shared" si="31"/>
        <v>0.15136889851643115</v>
      </c>
    </row>
    <row r="523" spans="2:6" ht="14.4" x14ac:dyDescent="0.3">
      <c r="B523" s="36">
        <v>0.499</v>
      </c>
      <c r="C523" s="43">
        <f t="shared" si="28"/>
        <v>9000.5333337378779</v>
      </c>
      <c r="D523" s="43">
        <f t="shared" si="29"/>
        <v>0.37263148642010879</v>
      </c>
      <c r="E523" s="43">
        <f t="shared" si="30"/>
        <v>0.15622329114077227</v>
      </c>
      <c r="F523" s="43">
        <f t="shared" si="31"/>
        <v>0.15132106207832513</v>
      </c>
    </row>
    <row r="524" spans="2:6" ht="14.4" x14ac:dyDescent="0.3">
      <c r="B524" s="36">
        <v>0.5</v>
      </c>
      <c r="C524" s="43">
        <f t="shared" si="28"/>
        <v>9000</v>
      </c>
      <c r="D524" s="43">
        <f t="shared" si="29"/>
        <v>0.37254653554526507</v>
      </c>
      <c r="E524" s="43">
        <f t="shared" si="30"/>
        <v>0.1561768743696291</v>
      </c>
      <c r="F524" s="43">
        <f t="shared" si="31"/>
        <v>0.15127323165104101</v>
      </c>
    </row>
    <row r="525" spans="2:6" ht="14.4" x14ac:dyDescent="0.3">
      <c r="B525" s="36">
        <v>0.501</v>
      </c>
      <c r="C525" s="43">
        <f t="shared" si="28"/>
        <v>8999.4666662621221</v>
      </c>
      <c r="D525" s="43">
        <f t="shared" si="29"/>
        <v>0.37246159625533004</v>
      </c>
      <c r="E525" s="43">
        <f t="shared" si="30"/>
        <v>0.15613044025168174</v>
      </c>
      <c r="F525" s="43">
        <f t="shared" si="31"/>
        <v>0.15122540701654105</v>
      </c>
    </row>
    <row r="526" spans="2:6" ht="14.4" x14ac:dyDescent="0.3">
      <c r="B526" s="36">
        <v>0.502</v>
      </c>
      <c r="C526" s="43">
        <f t="shared" si="28"/>
        <v>8998.9333300969629</v>
      </c>
      <c r="D526" s="43">
        <f t="shared" si="29"/>
        <v>0.37237666816313453</v>
      </c>
      <c r="E526" s="43">
        <f t="shared" si="30"/>
        <v>0.15608398857261191</v>
      </c>
      <c r="F526" s="43">
        <f t="shared" si="31"/>
        <v>0.15117758795690805</v>
      </c>
    </row>
    <row r="527" spans="2:6" ht="14.4" x14ac:dyDescent="0.3">
      <c r="B527" s="36">
        <v>0.503</v>
      </c>
      <c r="C527" s="43">
        <f t="shared" si="28"/>
        <v>8998.3999890771429</v>
      </c>
      <c r="D527" s="43">
        <f t="shared" si="29"/>
        <v>0.37229175088173538</v>
      </c>
      <c r="E527" s="43">
        <f t="shared" si="30"/>
        <v>0.15603751911773267</v>
      </c>
      <c r="F527" s="43">
        <f t="shared" si="31"/>
        <v>0.15112977425433696</v>
      </c>
    </row>
    <row r="528" spans="2:6" ht="14.4" x14ac:dyDescent="0.3">
      <c r="B528" s="36">
        <v>0.504</v>
      </c>
      <c r="C528" s="43">
        <f t="shared" si="28"/>
        <v>8997.8666407751007</v>
      </c>
      <c r="D528" s="43">
        <f t="shared" si="29"/>
        <v>0.37220684402440068</v>
      </c>
      <c r="E528" s="43">
        <f t="shared" si="30"/>
        <v>0.15599103167197997</v>
      </c>
      <c r="F528" s="43">
        <f t="shared" si="31"/>
        <v>0.15108196569112625</v>
      </c>
    </row>
    <row r="529" spans="2:6" ht="14.4" x14ac:dyDescent="0.3">
      <c r="B529" s="36">
        <v>0.505</v>
      </c>
      <c r="C529" s="43">
        <f t="shared" si="28"/>
        <v>8997.3332827629874</v>
      </c>
      <c r="D529" s="43">
        <f t="shared" si="29"/>
        <v>0.37212194720459446</v>
      </c>
      <c r="E529" s="43">
        <f t="shared" si="30"/>
        <v>0.15594452601990444</v>
      </c>
      <c r="F529" s="43">
        <f t="shared" si="31"/>
        <v>0.15103416204966974</v>
      </c>
    </row>
    <row r="530" spans="2:6" ht="14.4" x14ac:dyDescent="0.3">
      <c r="B530" s="36">
        <v>0.50600000000000001</v>
      </c>
      <c r="C530" s="43">
        <f t="shared" si="28"/>
        <v>8996.7999126125815</v>
      </c>
      <c r="D530" s="43">
        <f t="shared" si="29"/>
        <v>0.37203706003596193</v>
      </c>
      <c r="E530" s="43">
        <f t="shared" si="30"/>
        <v>0.1558980019456627</v>
      </c>
      <c r="F530" s="43">
        <f t="shared" si="31"/>
        <v>0.15098636311244809</v>
      </c>
    </row>
    <row r="531" spans="2:6" ht="14.4" x14ac:dyDescent="0.3">
      <c r="B531" s="36">
        <v>0.50700000000000001</v>
      </c>
      <c r="C531" s="43">
        <f t="shared" si="28"/>
        <v>8996.2665278951936</v>
      </c>
      <c r="D531" s="43">
        <f t="shared" si="29"/>
        <v>0.37195218213231462</v>
      </c>
      <c r="E531" s="43">
        <f t="shared" si="30"/>
        <v>0.15585145923300905</v>
      </c>
      <c r="F531" s="43">
        <f t="shared" si="31"/>
        <v>0.15093856866202032</v>
      </c>
    </row>
    <row r="532" spans="2:6" ht="14.4" x14ac:dyDescent="0.3">
      <c r="B532" s="36">
        <v>0.50800000000000001</v>
      </c>
      <c r="C532" s="43">
        <f t="shared" si="28"/>
        <v>8995.7331261815652</v>
      </c>
      <c r="D532" s="43">
        <f t="shared" si="29"/>
        <v>0.37186731310761534</v>
      </c>
      <c r="E532" s="43">
        <f t="shared" si="30"/>
        <v>0.15580489766528693</v>
      </c>
      <c r="F532" s="43">
        <f t="shared" si="31"/>
        <v>0.15089077848101556</v>
      </c>
    </row>
    <row r="533" spans="2:6" ht="14.4" x14ac:dyDescent="0.3">
      <c r="B533" s="36">
        <v>0.50900000000000001</v>
      </c>
      <c r="C533" s="43">
        <f t="shared" si="28"/>
        <v>8995.1997050417867</v>
      </c>
      <c r="D533" s="43">
        <f t="shared" si="29"/>
        <v>0.37178245257596321</v>
      </c>
      <c r="E533" s="43">
        <f t="shared" si="30"/>
        <v>0.15575831702542042</v>
      </c>
      <c r="F533" s="43">
        <f t="shared" si="31"/>
        <v>0.15084299235212453</v>
      </c>
    </row>
    <row r="534" spans="2:6" ht="14.4" x14ac:dyDescent="0.3">
      <c r="B534" s="36">
        <v>0.51</v>
      </c>
      <c r="C534" s="43">
        <f t="shared" si="28"/>
        <v>8994.6662620451898</v>
      </c>
      <c r="D534" s="43">
        <f t="shared" si="29"/>
        <v>0.3716976001515791</v>
      </c>
      <c r="E534" s="43">
        <f t="shared" si="30"/>
        <v>0.15571171709590562</v>
      </c>
      <c r="F534" s="43">
        <f t="shared" si="31"/>
        <v>0.1507952100580911</v>
      </c>
    </row>
    <row r="535" spans="2:6" ht="14.4" x14ac:dyDescent="0.3">
      <c r="B535" s="36">
        <v>0.51100000000000001</v>
      </c>
      <c r="C535" s="43">
        <f t="shared" si="28"/>
        <v>8994.132794760264</v>
      </c>
      <c r="D535" s="43">
        <f t="shared" si="29"/>
        <v>0.37161275544879013</v>
      </c>
      <c r="E535" s="43">
        <f t="shared" si="30"/>
        <v>0.15566509765880207</v>
      </c>
      <c r="F535" s="43">
        <f t="shared" si="31"/>
        <v>0.1507474313817041</v>
      </c>
    </row>
    <row r="536" spans="2:6" ht="14.4" x14ac:dyDescent="0.3">
      <c r="B536" s="36">
        <v>0.51200000000000001</v>
      </c>
      <c r="C536" s="43">
        <f t="shared" si="28"/>
        <v>8993.5993007545585</v>
      </c>
      <c r="D536" s="43">
        <f t="shared" si="29"/>
        <v>0.37152791808201541</v>
      </c>
      <c r="E536" s="43">
        <f t="shared" si="30"/>
        <v>0.15561845849572412</v>
      </c>
      <c r="F536" s="43">
        <f t="shared" si="31"/>
        <v>0.15069965610578878</v>
      </c>
    </row>
    <row r="537" spans="2:6" ht="14.4" x14ac:dyDescent="0.3">
      <c r="B537" s="36">
        <v>0.51300000000000001</v>
      </c>
      <c r="C537" s="43">
        <f t="shared" ref="C537:C600" si="32">_xlfn.BETA.INV((1-B537),$C$7,$C$8)*($C$5-$C$3)+$C$3</f>
        <v>8993.0657775945838</v>
      </c>
      <c r="D537" s="43">
        <f t="shared" ref="D537:D600" si="33">_xlfn.BETA.INV((1-B537),$D$7,$D$8)*($D$5-$D$3)+$D$3</f>
        <v>0.37144308766575068</v>
      </c>
      <c r="E537" s="43">
        <f t="shared" ref="E537:E600" si="34">_xlfn.BETA.INV((1-B537),$E$7,$E$8)*($E$5-$E$3)+$E$3</f>
        <v>0.15557179938783228</v>
      </c>
      <c r="F537" s="43">
        <f t="shared" ref="F537:F600" si="35">_xlfn.BETA.INV((1-B537),$F$7,$F$8)*($F$5-$F$3)+$F$3</f>
        <v>0.15065188401319832</v>
      </c>
    </row>
    <row r="538" spans="2:6" ht="14.4" x14ac:dyDescent="0.3">
      <c r="B538" s="36">
        <v>0.51400000000000001</v>
      </c>
      <c r="C538" s="43">
        <f t="shared" si="32"/>
        <v>8992.5322228457244</v>
      </c>
      <c r="D538" s="43">
        <f t="shared" si="33"/>
        <v>0.37135826381455372</v>
      </c>
      <c r="E538" s="43">
        <f t="shared" si="34"/>
        <v>0.15552512011582456</v>
      </c>
      <c r="F538" s="43">
        <f t="shared" si="35"/>
        <v>0.1506041148868057</v>
      </c>
    </row>
    <row r="539" spans="2:6" ht="14.4" x14ac:dyDescent="0.3">
      <c r="B539" s="36">
        <v>0.51500000000000001</v>
      </c>
      <c r="C539" s="43">
        <f t="shared" si="32"/>
        <v>8991.9986340721389</v>
      </c>
      <c r="D539" s="43">
        <f t="shared" si="33"/>
        <v>0.37127344614302921</v>
      </c>
      <c r="E539" s="43">
        <f t="shared" si="34"/>
        <v>0.15547842045992757</v>
      </c>
      <c r="F539" s="43">
        <f t="shared" si="35"/>
        <v>0.15055634850949506</v>
      </c>
    </row>
    <row r="540" spans="2:6" ht="14.4" x14ac:dyDescent="0.3">
      <c r="B540" s="36">
        <v>0.51600000000000001</v>
      </c>
      <c r="C540" s="43">
        <f t="shared" si="32"/>
        <v>8991.465008836667</v>
      </c>
      <c r="D540" s="43">
        <f t="shared" si="33"/>
        <v>0.37118863426581394</v>
      </c>
      <c r="E540" s="43">
        <f t="shared" si="34"/>
        <v>0.15543170019988795</v>
      </c>
      <c r="F540" s="43">
        <f t="shared" si="35"/>
        <v>0.15050858466415348</v>
      </c>
    </row>
    <row r="541" spans="2:6" ht="14.4" x14ac:dyDescent="0.3">
      <c r="B541" s="36">
        <v>0.51700000000000002</v>
      </c>
      <c r="C541" s="43">
        <f t="shared" si="32"/>
        <v>8990.9313447007353</v>
      </c>
      <c r="D541" s="43">
        <f t="shared" si="33"/>
        <v>0.37110382779756212</v>
      </c>
      <c r="E541" s="43">
        <f t="shared" si="34"/>
        <v>0.15538495911496331</v>
      </c>
      <c r="F541" s="43">
        <f t="shared" si="35"/>
        <v>0.15046082313366238</v>
      </c>
    </row>
    <row r="542" spans="2:6" ht="14.4" x14ac:dyDescent="0.3">
      <c r="B542" s="36">
        <v>0.51800000000000002</v>
      </c>
      <c r="C542" s="43">
        <f t="shared" si="32"/>
        <v>8990.3976392242585</v>
      </c>
      <c r="D542" s="43">
        <f t="shared" si="33"/>
        <v>0.37101902635292994</v>
      </c>
      <c r="E542" s="43">
        <f t="shared" si="34"/>
        <v>0.15533819698391366</v>
      </c>
      <c r="F542" s="43">
        <f t="shared" si="35"/>
        <v>0.15041306370088936</v>
      </c>
    </row>
    <row r="543" spans="2:6" ht="14.4" x14ac:dyDescent="0.3">
      <c r="B543" s="36">
        <v>0.51900000000000002</v>
      </c>
      <c r="C543" s="43">
        <f t="shared" si="32"/>
        <v>8989.8638899655507</v>
      </c>
      <c r="D543" s="43">
        <f t="shared" si="33"/>
        <v>0.3709342295465613</v>
      </c>
      <c r="E543" s="43">
        <f t="shared" si="34"/>
        <v>0.15529141358499216</v>
      </c>
      <c r="F543" s="43">
        <f t="shared" si="35"/>
        <v>0.15036530614867955</v>
      </c>
    </row>
    <row r="544" spans="2:6" ht="14.4" x14ac:dyDescent="0.3">
      <c r="B544" s="36">
        <v>0.52</v>
      </c>
      <c r="C544" s="43">
        <f t="shared" si="32"/>
        <v>8989.3300944812236</v>
      </c>
      <c r="D544" s="43">
        <f t="shared" si="33"/>
        <v>0.37084943699307227</v>
      </c>
      <c r="E544" s="43">
        <f t="shared" si="34"/>
        <v>0.15524460869593656</v>
      </c>
      <c r="F544" s="43">
        <f t="shared" si="35"/>
        <v>0.15031755025984736</v>
      </c>
    </row>
    <row r="545" spans="2:6" ht="14.4" x14ac:dyDescent="0.3">
      <c r="B545" s="36">
        <v>0.52100000000000002</v>
      </c>
      <c r="C545" s="43">
        <f t="shared" si="32"/>
        <v>8988.7962503260951</v>
      </c>
      <c r="D545" s="43">
        <f t="shared" si="33"/>
        <v>0.3707646483070367</v>
      </c>
      <c r="E545" s="43">
        <f t="shared" si="34"/>
        <v>0.15519778209395993</v>
      </c>
      <c r="F545" s="43">
        <f t="shared" si="35"/>
        <v>0.15026979581716798</v>
      </c>
    </row>
    <row r="546" spans="2:6" ht="14.4" x14ac:dyDescent="0.3">
      <c r="B546" s="36">
        <v>0.52200000000000002</v>
      </c>
      <c r="C546" s="43">
        <f t="shared" si="32"/>
        <v>8988.262355053088</v>
      </c>
      <c r="D546" s="43">
        <f t="shared" si="33"/>
        <v>0.37067986310297085</v>
      </c>
      <c r="E546" s="43">
        <f t="shared" si="34"/>
        <v>0.15515093355574167</v>
      </c>
      <c r="F546" s="43">
        <f t="shared" si="35"/>
        <v>0.15022204260336902</v>
      </c>
    </row>
    <row r="547" spans="2:6" ht="14.4" x14ac:dyDescent="0.3">
      <c r="B547" s="36">
        <v>0.52300000000000002</v>
      </c>
      <c r="C547" s="43">
        <f t="shared" si="32"/>
        <v>8987.7284062131457</v>
      </c>
      <c r="D547" s="43">
        <f t="shared" si="33"/>
        <v>0.37059508099531874</v>
      </c>
      <c r="E547" s="43">
        <f t="shared" si="34"/>
        <v>0.15510406285741851</v>
      </c>
      <c r="F547" s="43">
        <f t="shared" si="35"/>
        <v>0.1501742904011219</v>
      </c>
    </row>
    <row r="548" spans="2:6" ht="14.4" x14ac:dyDescent="0.3">
      <c r="B548" s="36">
        <v>0.52400000000000002</v>
      </c>
      <c r="C548" s="43">
        <f t="shared" si="32"/>
        <v>8987.1944013551183</v>
      </c>
      <c r="D548" s="43">
        <f t="shared" si="33"/>
        <v>0.37051030159843695</v>
      </c>
      <c r="E548" s="43">
        <f t="shared" si="34"/>
        <v>0.15505716977457545</v>
      </c>
      <c r="F548" s="43">
        <f t="shared" si="35"/>
        <v>0.15012653899303358</v>
      </c>
    </row>
    <row r="549" spans="2:6" ht="14.4" x14ac:dyDescent="0.3">
      <c r="B549" s="36">
        <v>0.52500000000000002</v>
      </c>
      <c r="C549" s="43">
        <f t="shared" si="32"/>
        <v>8986.6603380256856</v>
      </c>
      <c r="D549" s="43">
        <f t="shared" si="33"/>
        <v>0.37042552452657979</v>
      </c>
      <c r="E549" s="43">
        <f t="shared" si="34"/>
        <v>0.15501025408223634</v>
      </c>
      <c r="F549" s="43">
        <f t="shared" si="35"/>
        <v>0.15007878816163803</v>
      </c>
    </row>
    <row r="550" spans="2:6" ht="14.4" x14ac:dyDescent="0.3">
      <c r="B550" s="36">
        <v>0.52600000000000002</v>
      </c>
      <c r="C550" s="43">
        <f t="shared" si="32"/>
        <v>8986.1262137692465</v>
      </c>
      <c r="D550" s="43">
        <f t="shared" si="33"/>
        <v>0.37034074939388417</v>
      </c>
      <c r="E550" s="43">
        <f t="shared" si="34"/>
        <v>0.15496331555485493</v>
      </c>
      <c r="F550" s="43">
        <f t="shared" si="35"/>
        <v>0.15003103768938772</v>
      </c>
    </row>
    <row r="551" spans="2:6" ht="14.4" x14ac:dyDescent="0.3">
      <c r="B551" s="36">
        <v>0.52700000000000002</v>
      </c>
      <c r="C551" s="43">
        <f t="shared" si="32"/>
        <v>8985.5920261278243</v>
      </c>
      <c r="D551" s="43">
        <f t="shared" si="33"/>
        <v>0.37025597581435454</v>
      </c>
      <c r="E551" s="43">
        <f t="shared" si="34"/>
        <v>0.15491635396630549</v>
      </c>
      <c r="F551" s="43">
        <f t="shared" si="35"/>
        <v>0.14998328735864525</v>
      </c>
    </row>
    <row r="552" spans="2:6" ht="14.4" x14ac:dyDescent="0.3">
      <c r="B552" s="36">
        <v>0.52800000000000002</v>
      </c>
      <c r="C552" s="43">
        <f t="shared" si="32"/>
        <v>8985.0577726409756</v>
      </c>
      <c r="D552" s="43">
        <f t="shared" si="33"/>
        <v>0.37017120340184811</v>
      </c>
      <c r="E552" s="43">
        <f t="shared" si="34"/>
        <v>0.15486936908987339</v>
      </c>
      <c r="F552" s="43">
        <f t="shared" si="35"/>
        <v>0.14993553695167466</v>
      </c>
    </row>
    <row r="553" spans="2:6" ht="14.4" x14ac:dyDescent="0.3">
      <c r="B553" s="36">
        <v>0.52900000000000003</v>
      </c>
      <c r="C553" s="43">
        <f t="shared" si="32"/>
        <v>8984.5234508456906</v>
      </c>
      <c r="D553" s="43">
        <f t="shared" si="33"/>
        <v>0.37008643177005951</v>
      </c>
      <c r="E553" s="43">
        <f t="shared" si="34"/>
        <v>0.15482236069824593</v>
      </c>
      <c r="F553" s="43">
        <f t="shared" si="35"/>
        <v>0.14988778625063315</v>
      </c>
    </row>
    <row r="554" spans="2:6" ht="14.4" x14ac:dyDescent="0.3">
      <c r="B554" s="36">
        <v>0.53</v>
      </c>
      <c r="C554" s="43">
        <f t="shared" si="32"/>
        <v>8983.9890582762873</v>
      </c>
      <c r="D554" s="43">
        <f t="shared" si="33"/>
        <v>0.37000166053250561</v>
      </c>
      <c r="E554" s="43">
        <f t="shared" si="34"/>
        <v>0.15477532856350279</v>
      </c>
      <c r="F554" s="43">
        <f t="shared" si="35"/>
        <v>0.14984003503756235</v>
      </c>
    </row>
    <row r="555" spans="2:6" ht="14.4" x14ac:dyDescent="0.3">
      <c r="B555" s="36">
        <v>0.53100000000000003</v>
      </c>
      <c r="C555" s="43">
        <f t="shared" si="32"/>
        <v>8983.4545924643262</v>
      </c>
      <c r="D555" s="43">
        <f t="shared" si="33"/>
        <v>0.36991688930251082</v>
      </c>
      <c r="E555" s="43">
        <f t="shared" si="34"/>
        <v>0.15472827245710657</v>
      </c>
      <c r="F555" s="43">
        <f t="shared" si="35"/>
        <v>0.14979228309437986</v>
      </c>
    </row>
    <row r="556" spans="2:6" ht="14.4" x14ac:dyDescent="0.3">
      <c r="B556" s="36">
        <v>0.53200000000000003</v>
      </c>
      <c r="C556" s="43">
        <f t="shared" si="32"/>
        <v>8982.9200509385064</v>
      </c>
      <c r="D556" s="43">
        <f t="shared" si="33"/>
        <v>0.36983211769319141</v>
      </c>
      <c r="E556" s="43">
        <f t="shared" si="34"/>
        <v>0.15468119214989329</v>
      </c>
      <c r="F556" s="43">
        <f t="shared" si="35"/>
        <v>0.14974453020287071</v>
      </c>
    </row>
    <row r="557" spans="2:6" ht="14.4" x14ac:dyDescent="0.3">
      <c r="B557" s="36">
        <v>0.53300000000000003</v>
      </c>
      <c r="C557" s="43">
        <f t="shared" si="32"/>
        <v>8982.3854312245603</v>
      </c>
      <c r="D557" s="43">
        <f t="shared" si="33"/>
        <v>0.36974734531744075</v>
      </c>
      <c r="E557" s="43">
        <f t="shared" si="34"/>
        <v>0.15463408741206278</v>
      </c>
      <c r="F557" s="43">
        <f t="shared" si="35"/>
        <v>0.1496967761446788</v>
      </c>
    </row>
    <row r="558" spans="2:6" ht="14.4" x14ac:dyDescent="0.3">
      <c r="B558" s="36">
        <v>0.53400000000000003</v>
      </c>
      <c r="C558" s="43">
        <f t="shared" si="32"/>
        <v>8981.8507308451699</v>
      </c>
      <c r="D558" s="43">
        <f t="shared" si="33"/>
        <v>0.36966257178791384</v>
      </c>
      <c r="E558" s="43">
        <f t="shared" si="34"/>
        <v>0.15458695801316902</v>
      </c>
      <c r="F558" s="43">
        <f t="shared" si="35"/>
        <v>0.14964902070129818</v>
      </c>
    </row>
    <row r="559" spans="2:6" ht="14.4" x14ac:dyDescent="0.3">
      <c r="B559" s="36">
        <v>0.53500000000000003</v>
      </c>
      <c r="C559" s="43">
        <f t="shared" si="32"/>
        <v>8981.3159473198502</v>
      </c>
      <c r="D559" s="43">
        <f t="shared" si="33"/>
        <v>0.36957779671701224</v>
      </c>
      <c r="E559" s="43">
        <f t="shared" si="34"/>
        <v>0.15453980372211046</v>
      </c>
      <c r="F559" s="43">
        <f t="shared" si="35"/>
        <v>0.14960126365406456</v>
      </c>
    </row>
    <row r="560" spans="2:6" ht="14.4" x14ac:dyDescent="0.3">
      <c r="B560" s="36">
        <v>0.53600000000000003</v>
      </c>
      <c r="C560" s="43">
        <f t="shared" si="32"/>
        <v>8980.7810781648659</v>
      </c>
      <c r="D560" s="43">
        <f t="shared" si="33"/>
        <v>0.36949301971686865</v>
      </c>
      <c r="E560" s="43">
        <f t="shared" si="34"/>
        <v>0.15449262430712032</v>
      </c>
      <c r="F560" s="43">
        <f t="shared" si="35"/>
        <v>0.14955350478414661</v>
      </c>
    </row>
    <row r="561" spans="2:6" ht="14.4" x14ac:dyDescent="0.3">
      <c r="B561" s="36">
        <v>0.53700000000000003</v>
      </c>
      <c r="C561" s="43">
        <f t="shared" si="32"/>
        <v>8980.2461208931181</v>
      </c>
      <c r="D561" s="43">
        <f t="shared" si="33"/>
        <v>0.36940824039933151</v>
      </c>
      <c r="E561" s="43">
        <f t="shared" si="34"/>
        <v>0.15444541953575666</v>
      </c>
      <c r="F561" s="43">
        <f t="shared" si="35"/>
        <v>0.14950574387253734</v>
      </c>
    </row>
    <row r="562" spans="2:6" ht="14.4" x14ac:dyDescent="0.3">
      <c r="B562" s="36">
        <v>0.53800000000000003</v>
      </c>
      <c r="C562" s="43">
        <f t="shared" si="32"/>
        <v>8979.7110730140521</v>
      </c>
      <c r="D562" s="43">
        <f t="shared" si="33"/>
        <v>0.36932345837595004</v>
      </c>
      <c r="E562" s="43">
        <f t="shared" si="34"/>
        <v>0.15439818917489254</v>
      </c>
      <c r="F562" s="43">
        <f t="shared" si="35"/>
        <v>0.14945798070004537</v>
      </c>
    </row>
    <row r="563" spans="2:6" ht="14.4" x14ac:dyDescent="0.3">
      <c r="B563" s="36">
        <v>0.53900000000000003</v>
      </c>
      <c r="C563" s="43">
        <f t="shared" si="32"/>
        <v>8979.1759320335586</v>
      </c>
      <c r="D563" s="43">
        <f t="shared" si="33"/>
        <v>0.36923867325795845</v>
      </c>
      <c r="E563" s="43">
        <f t="shared" si="34"/>
        <v>0.15435093299070612</v>
      </c>
      <c r="F563" s="43">
        <f t="shared" si="35"/>
        <v>0.14941021504728627</v>
      </c>
    </row>
    <row r="564" spans="2:6" ht="14.4" x14ac:dyDescent="0.3">
      <c r="B564" s="36">
        <v>0.54</v>
      </c>
      <c r="C564" s="43">
        <f t="shared" si="32"/>
        <v>8978.6406954538616</v>
      </c>
      <c r="D564" s="43">
        <f t="shared" si="33"/>
        <v>0.36915388465626048</v>
      </c>
      <c r="E564" s="43">
        <f t="shared" si="34"/>
        <v>0.15430365074867058</v>
      </c>
      <c r="F564" s="43">
        <f t="shared" si="35"/>
        <v>0.14936244669467377</v>
      </c>
    </row>
    <row r="565" spans="2:6" ht="14.4" x14ac:dyDescent="0.3">
      <c r="B565" s="36">
        <v>0.54100000000000004</v>
      </c>
      <c r="C565" s="43">
        <f t="shared" si="32"/>
        <v>8978.1053607734284</v>
      </c>
      <c r="D565" s="43">
        <f t="shared" si="33"/>
        <v>0.36906909218141432</v>
      </c>
      <c r="E565" s="43">
        <f t="shared" si="34"/>
        <v>0.15425634221354412</v>
      </c>
      <c r="F565" s="43">
        <f t="shared" si="35"/>
        <v>0.14931467542241111</v>
      </c>
    </row>
    <row r="566" spans="2:6" ht="14.4" x14ac:dyDescent="0.3">
      <c r="B566" s="36">
        <v>0.54200000000000004</v>
      </c>
      <c r="C566" s="43">
        <f t="shared" si="32"/>
        <v>8977.5699254868614</v>
      </c>
      <c r="D566" s="43">
        <f t="shared" si="33"/>
        <v>0.36898429544361677</v>
      </c>
      <c r="E566" s="43">
        <f t="shared" si="34"/>
        <v>0.1542090071493597</v>
      </c>
      <c r="F566" s="43">
        <f t="shared" si="35"/>
        <v>0.14926690101048215</v>
      </c>
    </row>
    <row r="567" spans="2:6" ht="14.4" x14ac:dyDescent="0.3">
      <c r="B567" s="36">
        <v>0.54300000000000004</v>
      </c>
      <c r="C567" s="43">
        <f t="shared" si="32"/>
        <v>8977.034387084801</v>
      </c>
      <c r="D567" s="43">
        <f t="shared" si="33"/>
        <v>0.36889949405268763</v>
      </c>
      <c r="E567" s="43">
        <f t="shared" si="34"/>
        <v>0.15416164531941509</v>
      </c>
      <c r="F567" s="43">
        <f t="shared" si="35"/>
        <v>0.14921912323864259</v>
      </c>
    </row>
    <row r="568" spans="2:6" ht="14.4" x14ac:dyDescent="0.3">
      <c r="B568" s="36">
        <v>0.54400000000000004</v>
      </c>
      <c r="C568" s="43">
        <f t="shared" si="32"/>
        <v>8976.4987430538167</v>
      </c>
      <c r="D568" s="43">
        <f t="shared" si="33"/>
        <v>0.3688146876180543</v>
      </c>
      <c r="E568" s="43">
        <f t="shared" si="34"/>
        <v>0.15411425648626223</v>
      </c>
      <c r="F568" s="43">
        <f t="shared" si="35"/>
        <v>0.14917134188641118</v>
      </c>
    </row>
    <row r="569" spans="2:6" ht="14.4" x14ac:dyDescent="0.3">
      <c r="B569" s="36">
        <v>0.54500000000000004</v>
      </c>
      <c r="C569" s="43">
        <f t="shared" si="32"/>
        <v>8975.962990876309</v>
      </c>
      <c r="D569" s="43">
        <f t="shared" si="33"/>
        <v>0.36872987574873606</v>
      </c>
      <c r="E569" s="43">
        <f t="shared" si="34"/>
        <v>0.15406684041169721</v>
      </c>
      <c r="F569" s="43">
        <f t="shared" si="35"/>
        <v>0.14912355673306077</v>
      </c>
    </row>
    <row r="570" spans="2:6" ht="14.4" x14ac:dyDescent="0.3">
      <c r="B570" s="36">
        <v>0.54600000000000004</v>
      </c>
      <c r="C570" s="43">
        <f t="shared" si="32"/>
        <v>8975.4271280304038</v>
      </c>
      <c r="D570" s="43">
        <f t="shared" si="33"/>
        <v>0.36864505805332803</v>
      </c>
      <c r="E570" s="43">
        <f t="shared" si="34"/>
        <v>0.15401939685674967</v>
      </c>
      <c r="F570" s="43">
        <f t="shared" si="35"/>
        <v>0.1490757675576096</v>
      </c>
    </row>
    <row r="571" spans="2:6" ht="14.4" x14ac:dyDescent="0.3">
      <c r="B571" s="36">
        <v>0.54700000000000004</v>
      </c>
      <c r="C571" s="43">
        <f t="shared" si="32"/>
        <v>8974.8911519898484</v>
      </c>
      <c r="D571" s="43">
        <f t="shared" si="33"/>
        <v>0.36856023413998595</v>
      </c>
      <c r="E571" s="43">
        <f t="shared" si="34"/>
        <v>0.15397192558167233</v>
      </c>
      <c r="F571" s="43">
        <f t="shared" si="35"/>
        <v>0.14902797413881202</v>
      </c>
    </row>
    <row r="572" spans="2:6" ht="14.4" x14ac:dyDescent="0.3">
      <c r="B572" s="36">
        <v>0.54800000000000004</v>
      </c>
      <c r="C572" s="43">
        <f t="shared" si="32"/>
        <v>8974.3550602239102</v>
      </c>
      <c r="D572" s="43">
        <f t="shared" si="33"/>
        <v>0.36847540361641001</v>
      </c>
      <c r="E572" s="43">
        <f t="shared" si="34"/>
        <v>0.15392442634593057</v>
      </c>
      <c r="F572" s="43">
        <f t="shared" si="35"/>
        <v>0.14898017625514995</v>
      </c>
    </row>
    <row r="573" spans="2:6" ht="14.4" x14ac:dyDescent="0.3">
      <c r="B573" s="36">
        <v>0.54900000000000004</v>
      </c>
      <c r="C573" s="43">
        <f t="shared" si="32"/>
        <v>8973.8188501972618</v>
      </c>
      <c r="D573" s="43">
        <f t="shared" si="33"/>
        <v>0.3683905660898289</v>
      </c>
      <c r="E573" s="43">
        <f t="shared" si="34"/>
        <v>0.15387689890819162</v>
      </c>
      <c r="F573" s="43">
        <f t="shared" si="35"/>
        <v>0.14893237368482354</v>
      </c>
    </row>
    <row r="574" spans="2:6" ht="14.4" x14ac:dyDescent="0.3">
      <c r="B574" s="36">
        <v>0.55000000000000004</v>
      </c>
      <c r="C574" s="43">
        <f t="shared" si="32"/>
        <v>8973.2825193698918</v>
      </c>
      <c r="D574" s="43">
        <f t="shared" si="33"/>
        <v>0.3683057211669839</v>
      </c>
      <c r="E574" s="43">
        <f t="shared" si="34"/>
        <v>0.15382934302631388</v>
      </c>
      <c r="F574" s="43">
        <f t="shared" si="35"/>
        <v>0.14888456620574236</v>
      </c>
    </row>
    <row r="575" spans="2:6" ht="14.4" x14ac:dyDescent="0.3">
      <c r="B575" s="36">
        <v>0.55100000000000005</v>
      </c>
      <c r="C575" s="43">
        <f t="shared" si="32"/>
        <v>8972.7460651969832</v>
      </c>
      <c r="D575" s="43">
        <f t="shared" si="33"/>
        <v>0.36822086845411334</v>
      </c>
      <c r="E575" s="43">
        <f t="shared" si="34"/>
        <v>0.15378175845733627</v>
      </c>
      <c r="F575" s="43">
        <f t="shared" si="35"/>
        <v>0.14883675359551624</v>
      </c>
    </row>
    <row r="576" spans="2:6" ht="14.4" x14ac:dyDescent="0.3">
      <c r="B576" s="36">
        <v>0.55200000000000005</v>
      </c>
      <c r="C576" s="43">
        <f t="shared" si="32"/>
        <v>8972.2094851288166</v>
      </c>
      <c r="D576" s="43">
        <f t="shared" si="33"/>
        <v>0.36813600755693576</v>
      </c>
      <c r="E576" s="43">
        <f t="shared" si="34"/>
        <v>0.15373414495746721</v>
      </c>
      <c r="F576" s="43">
        <f t="shared" si="35"/>
        <v>0.14878893563144613</v>
      </c>
    </row>
    <row r="577" spans="2:6" ht="14.4" x14ac:dyDescent="0.3">
      <c r="B577" s="36">
        <v>0.55300000000000005</v>
      </c>
      <c r="C577" s="43">
        <f t="shared" si="32"/>
        <v>8971.6727766106578</v>
      </c>
      <c r="D577" s="43">
        <f t="shared" si="33"/>
        <v>0.36805113808063439</v>
      </c>
      <c r="E577" s="43">
        <f t="shared" si="34"/>
        <v>0.15368650228207367</v>
      </c>
      <c r="F577" s="43">
        <f t="shared" si="35"/>
        <v>0.14874111209051516</v>
      </c>
    </row>
    <row r="578" spans="2:6" ht="14.4" x14ac:dyDescent="0.3">
      <c r="B578" s="36">
        <v>0.55400000000000005</v>
      </c>
      <c r="C578" s="43">
        <f t="shared" si="32"/>
        <v>8971.135937082654</v>
      </c>
      <c r="D578" s="43">
        <f t="shared" si="33"/>
        <v>0.36796625962984059</v>
      </c>
      <c r="E578" s="43">
        <f t="shared" si="34"/>
        <v>0.15363883018567032</v>
      </c>
      <c r="F578" s="43">
        <f t="shared" si="35"/>
        <v>0.14869328274937924</v>
      </c>
    </row>
    <row r="579" spans="2:6" ht="14.4" x14ac:dyDescent="0.3">
      <c r="B579" s="36">
        <v>0.55500000000000005</v>
      </c>
      <c r="C579" s="43">
        <f t="shared" si="32"/>
        <v>8970.5989639797244</v>
      </c>
      <c r="D579" s="43">
        <f t="shared" si="33"/>
        <v>0.36788137180861785</v>
      </c>
      <c r="E579" s="43">
        <f t="shared" si="34"/>
        <v>0.15359112842190811</v>
      </c>
      <c r="F579" s="43">
        <f t="shared" si="35"/>
        <v>0.14864544738435786</v>
      </c>
    </row>
    <row r="580" spans="2:6" ht="14.4" x14ac:dyDescent="0.3">
      <c r="B580" s="36">
        <v>0.55600000000000005</v>
      </c>
      <c r="C580" s="43">
        <f t="shared" si="32"/>
        <v>8970.0618547314498</v>
      </c>
      <c r="D580" s="43">
        <f t="shared" si="33"/>
        <v>0.36779647422044537</v>
      </c>
      <c r="E580" s="43">
        <f t="shared" si="34"/>
        <v>0.15354339674356349</v>
      </c>
      <c r="F580" s="43">
        <f t="shared" si="35"/>
        <v>0.14859760577142506</v>
      </c>
    </row>
    <row r="581" spans="2:6" ht="14.4" x14ac:dyDescent="0.3">
      <c r="B581" s="36">
        <v>0.55700000000000005</v>
      </c>
      <c r="C581" s="43">
        <f t="shared" si="32"/>
        <v>8969.5246067619664</v>
      </c>
      <c r="D581" s="43">
        <f t="shared" si="33"/>
        <v>0.36771156646820136</v>
      </c>
      <c r="E581" s="43">
        <f t="shared" si="34"/>
        <v>0.15349563490252666</v>
      </c>
      <c r="F581" s="43">
        <f t="shared" si="35"/>
        <v>0.14854975768619985</v>
      </c>
    </row>
    <row r="582" spans="2:6" ht="14.4" x14ac:dyDescent="0.3">
      <c r="B582" s="36">
        <v>0.55800000000000005</v>
      </c>
      <c r="C582" s="43">
        <f t="shared" si="32"/>
        <v>8968.9872174898519</v>
      </c>
      <c r="D582" s="43">
        <f t="shared" si="33"/>
        <v>0.36762664815414714</v>
      </c>
      <c r="E582" s="43">
        <f t="shared" si="34"/>
        <v>0.15344784264979061</v>
      </c>
      <c r="F582" s="43">
        <f t="shared" si="35"/>
        <v>0.14850190290393708</v>
      </c>
    </row>
    <row r="583" spans="2:6" ht="14.4" x14ac:dyDescent="0.3">
      <c r="B583" s="36">
        <v>0.55900000000000005</v>
      </c>
      <c r="C583" s="43">
        <f t="shared" si="32"/>
        <v>8968.4496843280212</v>
      </c>
      <c r="D583" s="43">
        <f t="shared" si="33"/>
        <v>0.36754171887991016</v>
      </c>
      <c r="E583" s="43">
        <f t="shared" si="34"/>
        <v>0.15340001973543937</v>
      </c>
      <c r="F583" s="43">
        <f t="shared" si="35"/>
        <v>0.14845404119951797</v>
      </c>
    </row>
    <row r="584" spans="2:6" ht="14.4" x14ac:dyDescent="0.3">
      <c r="B584" s="36">
        <v>0.56000000000000005</v>
      </c>
      <c r="C584" s="43">
        <f t="shared" si="32"/>
        <v>8967.9120046836051</v>
      </c>
      <c r="D584" s="43">
        <f t="shared" si="33"/>
        <v>0.36745677824646733</v>
      </c>
      <c r="E584" s="43">
        <f t="shared" si="34"/>
        <v>0.15335216590863671</v>
      </c>
      <c r="F584" s="43">
        <f t="shared" si="35"/>
        <v>0.14840617234744061</v>
      </c>
    </row>
    <row r="585" spans="2:6" ht="14.4" x14ac:dyDescent="0.3">
      <c r="B585" s="36">
        <v>0.56100000000000005</v>
      </c>
      <c r="C585" s="43">
        <f t="shared" si="32"/>
        <v>8967.3741759578515</v>
      </c>
      <c r="D585" s="43">
        <f t="shared" si="33"/>
        <v>0.36737182585412864</v>
      </c>
      <c r="E585" s="43">
        <f t="shared" si="34"/>
        <v>0.15330428091761419</v>
      </c>
      <c r="F585" s="43">
        <f t="shared" si="35"/>
        <v>0.14835829612181062</v>
      </c>
    </row>
    <row r="586" spans="2:6" ht="14.4" x14ac:dyDescent="0.3">
      <c r="B586" s="36">
        <v>0.56200000000000006</v>
      </c>
      <c r="C586" s="43">
        <f t="shared" si="32"/>
        <v>8966.8361955460023</v>
      </c>
      <c r="D586" s="43">
        <f t="shared" si="33"/>
        <v>0.36728686130252008</v>
      </c>
      <c r="E586" s="43">
        <f t="shared" si="34"/>
        <v>0.15325636450965976</v>
      </c>
      <c r="F586" s="43">
        <f t="shared" si="35"/>
        <v>0.14831041229633157</v>
      </c>
    </row>
    <row r="587" spans="2:6" ht="14.4" x14ac:dyDescent="0.3">
      <c r="B587" s="36">
        <v>0.56299999999999994</v>
      </c>
      <c r="C587" s="43">
        <f t="shared" si="32"/>
        <v>8966.2980608371854</v>
      </c>
      <c r="D587" s="43">
        <f t="shared" si="33"/>
        <v>0.36720188419056687</v>
      </c>
      <c r="E587" s="43">
        <f t="shared" si="34"/>
        <v>0.15320841643110575</v>
      </c>
      <c r="F587" s="43">
        <f t="shared" si="35"/>
        <v>0.1482625206442954</v>
      </c>
    </row>
    <row r="588" spans="2:6" ht="14.4" x14ac:dyDescent="0.3">
      <c r="B588" s="36">
        <v>0.56399999999999995</v>
      </c>
      <c r="C588" s="43">
        <f t="shared" si="32"/>
        <v>8965.759769214299</v>
      </c>
      <c r="D588" s="43">
        <f t="shared" si="33"/>
        <v>0.36711689411647652</v>
      </c>
      <c r="E588" s="43">
        <f t="shared" si="34"/>
        <v>0.15316043642731691</v>
      </c>
      <c r="F588" s="43">
        <f t="shared" si="35"/>
        <v>0.14821462093857277</v>
      </c>
    </row>
    <row r="589" spans="2:6" ht="14.4" x14ac:dyDescent="0.3">
      <c r="B589" s="36">
        <v>0.56499999999999995</v>
      </c>
      <c r="C589" s="43">
        <f t="shared" si="32"/>
        <v>8965.2213180538984</v>
      </c>
      <c r="D589" s="43">
        <f t="shared" si="33"/>
        <v>0.36703189067772168</v>
      </c>
      <c r="E589" s="43">
        <f t="shared" si="34"/>
        <v>0.15311242424267854</v>
      </c>
      <c r="F589" s="43">
        <f t="shared" si="35"/>
        <v>0.14816671295160344</v>
      </c>
    </row>
    <row r="590" spans="2:6" ht="14.4" x14ac:dyDescent="0.3">
      <c r="B590" s="36">
        <v>0.56599999999999995</v>
      </c>
      <c r="C590" s="43">
        <f t="shared" si="32"/>
        <v>8964.6827047260813</v>
      </c>
      <c r="D590" s="43">
        <f t="shared" si="33"/>
        <v>0.36694687347102323</v>
      </c>
      <c r="E590" s="43">
        <f t="shared" si="34"/>
        <v>0.15306437962058428</v>
      </c>
      <c r="F590" s="43">
        <f t="shared" si="35"/>
        <v>0.14811879645538659</v>
      </c>
    </row>
    <row r="591" spans="2:6" ht="14.4" x14ac:dyDescent="0.3">
      <c r="B591" s="36">
        <v>0.56699999999999995</v>
      </c>
      <c r="C591" s="43">
        <f t="shared" si="32"/>
        <v>8964.1439265943718</v>
      </c>
      <c r="D591" s="43">
        <f t="shared" si="33"/>
        <v>0.36686184209233264</v>
      </c>
      <c r="E591" s="43">
        <f t="shared" si="34"/>
        <v>0.15301630230342383</v>
      </c>
      <c r="F591" s="43">
        <f t="shared" si="35"/>
        <v>0.14807087122147089</v>
      </c>
    </row>
    <row r="592" spans="2:6" ht="14.4" x14ac:dyDescent="0.3">
      <c r="B592" s="36">
        <v>0.56799999999999995</v>
      </c>
      <c r="C592" s="43">
        <f t="shared" si="32"/>
        <v>8963.6049810155964</v>
      </c>
      <c r="D592" s="43">
        <f t="shared" si="33"/>
        <v>0.36677679613681519</v>
      </c>
      <c r="E592" s="43">
        <f t="shared" si="34"/>
        <v>0.15296819203257081</v>
      </c>
      <c r="F592" s="43">
        <f t="shared" si="35"/>
        <v>0.14802293702094485</v>
      </c>
    </row>
    <row r="593" spans="2:6" ht="14.4" x14ac:dyDescent="0.3">
      <c r="B593" s="36">
        <v>0.56899999999999995</v>
      </c>
      <c r="C593" s="43">
        <f t="shared" si="32"/>
        <v>8963.0658653397822</v>
      </c>
      <c r="D593" s="43">
        <f t="shared" si="33"/>
        <v>0.36669173519883203</v>
      </c>
      <c r="E593" s="43">
        <f t="shared" si="34"/>
        <v>0.15292004854837016</v>
      </c>
      <c r="F593" s="43">
        <f t="shared" si="35"/>
        <v>0.14797499362442676</v>
      </c>
    </row>
    <row r="594" spans="2:6" ht="14.4" x14ac:dyDescent="0.3">
      <c r="B594" s="36">
        <v>0.56999999999999995</v>
      </c>
      <c r="C594" s="43">
        <f t="shared" si="32"/>
        <v>8962.5265769100242</v>
      </c>
      <c r="D594" s="43">
        <f t="shared" si="33"/>
        <v>0.36660665887192295</v>
      </c>
      <c r="E594" s="43">
        <f t="shared" si="34"/>
        <v>0.15287187159012564</v>
      </c>
      <c r="F594" s="43">
        <f t="shared" si="35"/>
        <v>0.14792704080205493</v>
      </c>
    </row>
    <row r="595" spans="2:6" ht="14.4" x14ac:dyDescent="0.3">
      <c r="B595" s="36">
        <v>0.57099999999999995</v>
      </c>
      <c r="C595" s="43">
        <f t="shared" si="32"/>
        <v>8961.9871130623706</v>
      </c>
      <c r="D595" s="43">
        <f t="shared" si="33"/>
        <v>0.36652156674878877</v>
      </c>
      <c r="E595" s="43">
        <f t="shared" si="34"/>
        <v>0.15282366089608729</v>
      </c>
      <c r="F595" s="43">
        <f t="shared" si="35"/>
        <v>0.14787907832347752</v>
      </c>
    </row>
    <row r="596" spans="2:6" ht="14.4" x14ac:dyDescent="0.3">
      <c r="B596" s="36">
        <v>0.57199999999999995</v>
      </c>
      <c r="C596" s="43">
        <f t="shared" si="32"/>
        <v>8961.447471125708</v>
      </c>
      <c r="D596" s="43">
        <f t="shared" si="33"/>
        <v>0.36643645842127343</v>
      </c>
      <c r="E596" s="43">
        <f t="shared" si="34"/>
        <v>0.15277541620343857</v>
      </c>
      <c r="F596" s="43">
        <f t="shared" si="35"/>
        <v>0.14783110595784263</v>
      </c>
    </row>
    <row r="597" spans="2:6" ht="14.4" x14ac:dyDescent="0.3">
      <c r="B597" s="36">
        <v>0.57299999999999995</v>
      </c>
      <c r="C597" s="43">
        <f t="shared" si="32"/>
        <v>8960.9076484216348</v>
      </c>
      <c r="D597" s="43">
        <f t="shared" si="33"/>
        <v>0.36635133348034638</v>
      </c>
      <c r="E597" s="43">
        <f t="shared" si="34"/>
        <v>0.15272713724828352</v>
      </c>
      <c r="F597" s="43">
        <f t="shared" si="35"/>
        <v>0.14778312347378803</v>
      </c>
    </row>
    <row r="598" spans="2:6" ht="14.4" x14ac:dyDescent="0.3">
      <c r="B598" s="36">
        <v>0.57399999999999995</v>
      </c>
      <c r="C598" s="43">
        <f t="shared" si="32"/>
        <v>8960.3676422643421</v>
      </c>
      <c r="D598" s="43">
        <f t="shared" si="33"/>
        <v>0.36626619151608453</v>
      </c>
      <c r="E598" s="43">
        <f t="shared" si="34"/>
        <v>0.15267882376563391</v>
      </c>
      <c r="F598" s="43">
        <f t="shared" si="35"/>
        <v>0.14773513063943106</v>
      </c>
    </row>
    <row r="599" spans="2:6" ht="14.4" x14ac:dyDescent="0.3">
      <c r="B599" s="36">
        <v>0.57499999999999996</v>
      </c>
      <c r="C599" s="43">
        <f t="shared" si="32"/>
        <v>8959.8274499604922</v>
      </c>
      <c r="D599" s="43">
        <f t="shared" si="33"/>
        <v>0.36618103211765418</v>
      </c>
      <c r="E599" s="43">
        <f t="shared" si="34"/>
        <v>0.15263047548939596</v>
      </c>
      <c r="F599" s="43">
        <f t="shared" si="35"/>
        <v>0.14768712722235847</v>
      </c>
    </row>
    <row r="600" spans="2:6" ht="14.4" x14ac:dyDescent="0.3">
      <c r="B600" s="36">
        <v>0.57599999999999996</v>
      </c>
      <c r="C600" s="43">
        <f t="shared" si="32"/>
        <v>8959.2870688090934</v>
      </c>
      <c r="D600" s="43">
        <f t="shared" si="33"/>
        <v>0.36609585487329299</v>
      </c>
      <c r="E600" s="43">
        <f t="shared" si="34"/>
        <v>0.15258209215235721</v>
      </c>
      <c r="F600" s="43">
        <f t="shared" si="35"/>
        <v>0.14763911298961593</v>
      </c>
    </row>
    <row r="601" spans="2:6" ht="14.4" x14ac:dyDescent="0.3">
      <c r="B601" s="36">
        <v>0.57699999999999996</v>
      </c>
      <c r="C601" s="43">
        <f t="shared" ref="C601:C664" si="36">_xlfn.BETA.INV((1-B601),$C$7,$C$8)*($C$5-$C$3)+$C$3</f>
        <v>8958.7464961013793</v>
      </c>
      <c r="D601" s="43">
        <f t="shared" ref="D601:D664" si="37">_xlfn.BETA.INV((1-B601),$D$7,$D$8)*($D$5-$D$3)+$D$3</f>
        <v>0.36601065937029165</v>
      </c>
      <c r="E601" s="43">
        <f t="shared" ref="E601:E664" si="38">_xlfn.BETA.INV((1-B601),$E$7,$E$8)*($E$5-$E$3)+$E$3</f>
        <v>0.15253367348617333</v>
      </c>
      <c r="F601" s="43">
        <f t="shared" ref="F601:F664" si="39">_xlfn.BETA.INV((1-B601),$F$7,$F$8)*($F$5-$F$3)+$F$3</f>
        <v>0.1475910877076978</v>
      </c>
    </row>
    <row r="602" spans="2:6" ht="14.4" x14ac:dyDescent="0.3">
      <c r="B602" s="36">
        <v>0.57799999999999996</v>
      </c>
      <c r="C602" s="43">
        <f t="shared" si="36"/>
        <v>8958.2057291206802</v>
      </c>
      <c r="D602" s="43">
        <f t="shared" si="37"/>
        <v>0.36592544519497539</v>
      </c>
      <c r="E602" s="43">
        <f t="shared" si="38"/>
        <v>0.15248521922135444</v>
      </c>
      <c r="F602" s="43">
        <f t="shared" si="39"/>
        <v>0.14754305114253655</v>
      </c>
    </row>
    <row r="603" spans="2:6" ht="14.4" x14ac:dyDescent="0.3">
      <c r="B603" s="36">
        <v>0.57899999999999996</v>
      </c>
      <c r="C603" s="43">
        <f t="shared" si="36"/>
        <v>8957.6647651422991</v>
      </c>
      <c r="D603" s="43">
        <f t="shared" si="37"/>
        <v>0.36584021193268562</v>
      </c>
      <c r="E603" s="43">
        <f t="shared" si="38"/>
        <v>0.15243672908725175</v>
      </c>
      <c r="F603" s="43">
        <f t="shared" si="39"/>
        <v>0.14749500305949245</v>
      </c>
    </row>
    <row r="604" spans="2:6" ht="14.4" x14ac:dyDescent="0.3">
      <c r="B604" s="36">
        <v>0.57999999999999996</v>
      </c>
      <c r="C604" s="43">
        <f t="shared" si="36"/>
        <v>8957.1236014333845</v>
      </c>
      <c r="D604" s="43">
        <f t="shared" si="37"/>
        <v>0.36575495916776141</v>
      </c>
      <c r="E604" s="43">
        <f t="shared" si="38"/>
        <v>0.15238820281204385</v>
      </c>
      <c r="F604" s="43">
        <f t="shared" si="39"/>
        <v>0.14744694322334281</v>
      </c>
    </row>
    <row r="605" spans="2:6" ht="14.4" x14ac:dyDescent="0.3">
      <c r="B605" s="36">
        <v>0.58099999999999996</v>
      </c>
      <c r="C605" s="43">
        <f t="shared" si="36"/>
        <v>8956.5822352528048</v>
      </c>
      <c r="D605" s="43">
        <f t="shared" si="37"/>
        <v>0.36566968648352038</v>
      </c>
      <c r="E605" s="43">
        <f t="shared" si="38"/>
        <v>0.15233964012272269</v>
      </c>
      <c r="F605" s="43">
        <f t="shared" si="39"/>
        <v>0.1473988713982714</v>
      </c>
    </row>
    <row r="606" spans="2:6" ht="14.4" x14ac:dyDescent="0.3">
      <c r="B606" s="36">
        <v>0.58199999999999996</v>
      </c>
      <c r="C606" s="43">
        <f t="shared" si="36"/>
        <v>8956.0406638510158</v>
      </c>
      <c r="D606" s="43">
        <f t="shared" si="37"/>
        <v>0.36558439346224025</v>
      </c>
      <c r="E606" s="43">
        <f t="shared" si="38"/>
        <v>0.15229104074507996</v>
      </c>
      <c r="F606" s="43">
        <f t="shared" si="39"/>
        <v>0.14735078734785773</v>
      </c>
    </row>
    <row r="607" spans="2:6" ht="14.4" x14ac:dyDescent="0.3">
      <c r="B607" s="36">
        <v>0.58299999999999996</v>
      </c>
      <c r="C607" s="43">
        <f t="shared" si="36"/>
        <v>8955.4988844699365</v>
      </c>
      <c r="D607" s="43">
        <f t="shared" si="37"/>
        <v>0.36549907968513945</v>
      </c>
      <c r="E607" s="43">
        <f t="shared" si="38"/>
        <v>0.15224240440369274</v>
      </c>
      <c r="F607" s="43">
        <f t="shared" si="39"/>
        <v>0.14730269083506625</v>
      </c>
    </row>
    <row r="608" spans="2:6" ht="14.4" x14ac:dyDescent="0.3">
      <c r="B608" s="36">
        <v>0.58399999999999996</v>
      </c>
      <c r="C608" s="43">
        <f t="shared" si="36"/>
        <v>8954.9568943428112</v>
      </c>
      <c r="D608" s="43">
        <f t="shared" si="37"/>
        <v>0.36541374473235844</v>
      </c>
      <c r="E608" s="43">
        <f t="shared" si="38"/>
        <v>0.15219373082190946</v>
      </c>
      <c r="F608" s="43">
        <f t="shared" si="39"/>
        <v>0.14725458162223545</v>
      </c>
    </row>
    <row r="609" spans="2:6" ht="14.4" x14ac:dyDescent="0.3">
      <c r="B609" s="36">
        <v>0.58499999999999996</v>
      </c>
      <c r="C609" s="43">
        <f t="shared" si="36"/>
        <v>8954.4146906940841</v>
      </c>
      <c r="D609" s="43">
        <f t="shared" si="37"/>
        <v>0.36532838818293989</v>
      </c>
      <c r="E609" s="43">
        <f t="shared" si="38"/>
        <v>0.1521450197218355</v>
      </c>
      <c r="F609" s="43">
        <f t="shared" si="39"/>
        <v>0.14720645947106697</v>
      </c>
    </row>
    <row r="610" spans="2:6" ht="14.4" x14ac:dyDescent="0.3">
      <c r="B610" s="36">
        <v>0.58599999999999997</v>
      </c>
      <c r="C610" s="43">
        <f t="shared" si="36"/>
        <v>8953.8722707392662</v>
      </c>
      <c r="D610" s="43">
        <f t="shared" si="37"/>
        <v>0.36524300961480993</v>
      </c>
      <c r="E610" s="43">
        <f t="shared" si="38"/>
        <v>0.15209627082431879</v>
      </c>
      <c r="F610" s="43">
        <f t="shared" si="39"/>
        <v>0.14715832414261448</v>
      </c>
    </row>
    <row r="611" spans="2:6" ht="14.4" x14ac:dyDescent="0.3">
      <c r="B611" s="36">
        <v>0.58699999999999997</v>
      </c>
      <c r="C611" s="43">
        <f t="shared" si="36"/>
        <v>8953.3296316847973</v>
      </c>
      <c r="D611" s="43">
        <f t="shared" si="37"/>
        <v>0.36515760860475804</v>
      </c>
      <c r="E611" s="43">
        <f t="shared" si="38"/>
        <v>0.15204748384893507</v>
      </c>
      <c r="F611" s="43">
        <f t="shared" si="39"/>
        <v>0.14711017539727272</v>
      </c>
    </row>
    <row r="612" spans="2:6" ht="14.4" x14ac:dyDescent="0.3">
      <c r="B612" s="36">
        <v>0.58799999999999997</v>
      </c>
      <c r="C612" s="43">
        <f t="shared" si="36"/>
        <v>8952.7867707279147</v>
      </c>
      <c r="D612" s="43">
        <f t="shared" si="37"/>
        <v>0.36507218472841757</v>
      </c>
      <c r="E612" s="43">
        <f t="shared" si="38"/>
        <v>0.15199865851397326</v>
      </c>
      <c r="F612" s="43">
        <f t="shared" si="39"/>
        <v>0.14706201299476612</v>
      </c>
    </row>
    <row r="613" spans="2:6" ht="14.4" x14ac:dyDescent="0.3">
      <c r="B613" s="36">
        <v>0.58899999999999997</v>
      </c>
      <c r="C613" s="43">
        <f t="shared" si="36"/>
        <v>8952.2436850565173</v>
      </c>
      <c r="D613" s="43">
        <f t="shared" si="37"/>
        <v>0.36498673756024619</v>
      </c>
      <c r="E613" s="43">
        <f t="shared" si="38"/>
        <v>0.15194979453642057</v>
      </c>
      <c r="F613" s="43">
        <f t="shared" si="39"/>
        <v>0.14701383669413773</v>
      </c>
    </row>
    <row r="614" spans="2:6" ht="14.4" x14ac:dyDescent="0.3">
      <c r="B614" s="36">
        <v>0.59</v>
      </c>
      <c r="C614" s="43">
        <f t="shared" si="36"/>
        <v>8951.7003718490269</v>
      </c>
      <c r="D614" s="43">
        <f t="shared" si="37"/>
        <v>0.36490126667350548</v>
      </c>
      <c r="E614" s="43">
        <f t="shared" si="38"/>
        <v>0.15190089163194734</v>
      </c>
      <c r="F614" s="43">
        <f t="shared" si="39"/>
        <v>0.14696564625373765</v>
      </c>
    </row>
    <row r="615" spans="2:6" ht="14.4" x14ac:dyDescent="0.3">
      <c r="B615" s="36">
        <v>0.59099999999999997</v>
      </c>
      <c r="C615" s="43">
        <f t="shared" si="36"/>
        <v>8951.1568282742501</v>
      </c>
      <c r="D615" s="43">
        <f t="shared" si="37"/>
        <v>0.36481577164024104</v>
      </c>
      <c r="E615" s="43">
        <f t="shared" si="38"/>
        <v>0.15185194951489195</v>
      </c>
      <c r="F615" s="43">
        <f t="shared" si="39"/>
        <v>0.14691744143121183</v>
      </c>
    </row>
    <row r="616" spans="2:6" ht="14.4" x14ac:dyDescent="0.3">
      <c r="B616" s="36">
        <v>0.59199999999999997</v>
      </c>
      <c r="C616" s="43">
        <f t="shared" si="36"/>
        <v>8950.6130514912438</v>
      </c>
      <c r="D616" s="43">
        <f t="shared" si="37"/>
        <v>0.3647302520312623</v>
      </c>
      <c r="E616" s="43">
        <f t="shared" si="38"/>
        <v>0.15180296789824549</v>
      </c>
      <c r="F616" s="43">
        <f t="shared" si="39"/>
        <v>0.14686922198349034</v>
      </c>
    </row>
    <row r="617" spans="2:6" ht="14.4" x14ac:dyDescent="0.3">
      <c r="B617" s="36">
        <v>0.59299999999999997</v>
      </c>
      <c r="C617" s="43">
        <f t="shared" si="36"/>
        <v>8950.0690386491679</v>
      </c>
      <c r="D617" s="43">
        <f t="shared" si="37"/>
        <v>0.36464470741612198</v>
      </c>
      <c r="E617" s="43">
        <f t="shared" si="38"/>
        <v>0.15175394649363627</v>
      </c>
      <c r="F617" s="43">
        <f t="shared" si="39"/>
        <v>0.14682098766677582</v>
      </c>
    </row>
    <row r="618" spans="2:6" ht="14.4" x14ac:dyDescent="0.3">
      <c r="B618" s="36">
        <v>0.59399999999999997</v>
      </c>
      <c r="C618" s="43">
        <f t="shared" si="36"/>
        <v>8949.5247868871465</v>
      </c>
      <c r="D618" s="43">
        <f t="shared" si="37"/>
        <v>0.36455913736309548</v>
      </c>
      <c r="E618" s="43">
        <f t="shared" si="38"/>
        <v>0.15170488501131413</v>
      </c>
      <c r="F618" s="43">
        <f t="shared" si="39"/>
        <v>0.14677273823653184</v>
      </c>
    </row>
    <row r="619" spans="2:6" ht="14.4" x14ac:dyDescent="0.3">
      <c r="B619" s="36">
        <v>0.59499999999999997</v>
      </c>
      <c r="C619" s="43">
        <f t="shared" si="36"/>
        <v>8948.9802933341271</v>
      </c>
      <c r="D619" s="43">
        <f t="shared" si="37"/>
        <v>0.36447354143916016</v>
      </c>
      <c r="E619" s="43">
        <f t="shared" si="38"/>
        <v>0.15165578316013478</v>
      </c>
      <c r="F619" s="43">
        <f t="shared" si="39"/>
        <v>0.14672447344747097</v>
      </c>
    </row>
    <row r="620" spans="2:6" ht="14.4" x14ac:dyDescent="0.3">
      <c r="B620" s="36">
        <v>0.59599999999999997</v>
      </c>
      <c r="C620" s="43">
        <f t="shared" si="36"/>
        <v>8948.4355551087338</v>
      </c>
      <c r="D620" s="43">
        <f t="shared" si="37"/>
        <v>0.3643879192099746</v>
      </c>
      <c r="E620" s="43">
        <f t="shared" si="38"/>
        <v>0.15160664064754362</v>
      </c>
      <c r="F620" s="43">
        <f t="shared" si="39"/>
        <v>0.14667619305354301</v>
      </c>
    </row>
    <row r="621" spans="2:6" ht="14.4" x14ac:dyDescent="0.3">
      <c r="B621" s="36">
        <v>0.59699999999999998</v>
      </c>
      <c r="C621" s="43">
        <f t="shared" si="36"/>
        <v>8947.8905693191246</v>
      </c>
      <c r="D621" s="43">
        <f t="shared" si="37"/>
        <v>0.36430227023985717</v>
      </c>
      <c r="E621" s="43">
        <f t="shared" si="38"/>
        <v>0.15155745717955987</v>
      </c>
      <c r="F621" s="43">
        <f t="shared" si="39"/>
        <v>0.14662789680792299</v>
      </c>
    </row>
    <row r="622" spans="2:6" ht="14.4" x14ac:dyDescent="0.3">
      <c r="B622" s="36">
        <v>0.59799999999999998</v>
      </c>
      <c r="C622" s="43">
        <f t="shared" si="36"/>
        <v>8947.3453330628436</v>
      </c>
      <c r="D622" s="43">
        <f t="shared" si="37"/>
        <v>0.36421659409176521</v>
      </c>
      <c r="E622" s="43">
        <f t="shared" si="38"/>
        <v>0.15150823246076012</v>
      </c>
      <c r="F622" s="43">
        <f t="shared" si="39"/>
        <v>0.14657958446299887</v>
      </c>
    </row>
    <row r="623" spans="2:6" ht="14.4" x14ac:dyDescent="0.3">
      <c r="B623" s="36">
        <v>0.59899999999999998</v>
      </c>
      <c r="C623" s="43">
        <f t="shared" si="36"/>
        <v>8946.7998434266683</v>
      </c>
      <c r="D623" s="43">
        <f t="shared" si="37"/>
        <v>0.36413089032727336</v>
      </c>
      <c r="E623" s="43">
        <f t="shared" si="38"/>
        <v>0.151458966194262</v>
      </c>
      <c r="F623" s="43">
        <f t="shared" si="39"/>
        <v>0.14653125577035969</v>
      </c>
    </row>
    <row r="624" spans="2:6" ht="14.4" x14ac:dyDescent="0.3">
      <c r="B624" s="36">
        <v>0.6</v>
      </c>
      <c r="C624" s="43">
        <f t="shared" si="36"/>
        <v>8946.2540974864733</v>
      </c>
      <c r="D624" s="43">
        <f t="shared" si="37"/>
        <v>0.364045158506552</v>
      </c>
      <c r="E624" s="43">
        <f t="shared" si="38"/>
        <v>0.15140965808170745</v>
      </c>
      <c r="F624" s="43">
        <f t="shared" si="39"/>
        <v>0.14648291048078305</v>
      </c>
    </row>
    <row r="625" spans="2:6" ht="14.4" x14ac:dyDescent="0.3">
      <c r="B625" s="36">
        <v>0.60099999999999998</v>
      </c>
      <c r="C625" s="43">
        <f t="shared" si="36"/>
        <v>8945.7080923070644</v>
      </c>
      <c r="D625" s="43">
        <f t="shared" si="37"/>
        <v>0.3639593981883455</v>
      </c>
      <c r="E625" s="43">
        <f t="shared" si="38"/>
        <v>0.15136030782324603</v>
      </c>
      <c r="F625" s="43">
        <f t="shared" si="39"/>
        <v>0.14643454834422276</v>
      </c>
    </row>
    <row r="626" spans="2:6" ht="14.4" x14ac:dyDescent="0.3">
      <c r="B626" s="36">
        <v>0.60199999999999998</v>
      </c>
      <c r="C626" s="43">
        <f t="shared" si="36"/>
        <v>8945.1618249420353</v>
      </c>
      <c r="D626" s="43">
        <f t="shared" si="37"/>
        <v>0.36387360892995035</v>
      </c>
      <c r="E626" s="43">
        <f t="shared" si="38"/>
        <v>0.15131091511751799</v>
      </c>
      <c r="F626" s="43">
        <f t="shared" si="39"/>
        <v>0.14638616910979638</v>
      </c>
    </row>
    <row r="627" spans="2:6" ht="14.4" x14ac:dyDescent="0.3">
      <c r="B627" s="36">
        <v>0.60299999999999998</v>
      </c>
      <c r="C627" s="43">
        <f t="shared" si="36"/>
        <v>8944.6152924336184</v>
      </c>
      <c r="D627" s="43">
        <f t="shared" si="37"/>
        <v>0.36378779028719288</v>
      </c>
      <c r="E627" s="43">
        <f t="shared" si="38"/>
        <v>0.15126147966163694</v>
      </c>
      <c r="F627" s="43">
        <f t="shared" si="39"/>
        <v>0.14633777252577262</v>
      </c>
    </row>
    <row r="628" spans="2:6" ht="14.4" x14ac:dyDescent="0.3">
      <c r="B628" s="36">
        <v>0.60399999999999998</v>
      </c>
      <c r="C628" s="43">
        <f t="shared" si="36"/>
        <v>8944.0684918125189</v>
      </c>
      <c r="D628" s="43">
        <f t="shared" si="37"/>
        <v>0.36370194181440707</v>
      </c>
      <c r="E628" s="43">
        <f t="shared" si="38"/>
        <v>0.15121200115117286</v>
      </c>
      <c r="F628" s="43">
        <f t="shared" si="39"/>
        <v>0.14628935833955864</v>
      </c>
    </row>
    <row r="629" spans="2:6" ht="14.4" x14ac:dyDescent="0.3">
      <c r="B629" s="36">
        <v>0.60499999999999998</v>
      </c>
      <c r="C629" s="43">
        <f t="shared" si="36"/>
        <v>8943.5214200977662</v>
      </c>
      <c r="D629" s="43">
        <f t="shared" si="37"/>
        <v>0.36361606306441191</v>
      </c>
      <c r="E629" s="43">
        <f t="shared" si="38"/>
        <v>0.15116247928013427</v>
      </c>
      <c r="F629" s="43">
        <f t="shared" si="39"/>
        <v>0.14624092629768715</v>
      </c>
    </row>
    <row r="630" spans="2:6" ht="14.4" x14ac:dyDescent="0.3">
      <c r="B630" s="36">
        <v>0.60599999999999998</v>
      </c>
      <c r="C630" s="43">
        <f t="shared" si="36"/>
        <v>8942.974074296555</v>
      </c>
      <c r="D630" s="43">
        <f t="shared" si="37"/>
        <v>0.36353015358848884</v>
      </c>
      <c r="E630" s="43">
        <f t="shared" si="38"/>
        <v>0.15111291374095071</v>
      </c>
      <c r="F630" s="43">
        <f t="shared" si="39"/>
        <v>0.14619247614580355</v>
      </c>
    </row>
    <row r="631" spans="2:6" ht="14.4" x14ac:dyDescent="0.3">
      <c r="B631" s="36">
        <v>0.60699999999999998</v>
      </c>
      <c r="C631" s="43">
        <f t="shared" si="36"/>
        <v>8942.4264514040879</v>
      </c>
      <c r="D631" s="43">
        <f t="shared" si="37"/>
        <v>0.36344421293635876</v>
      </c>
      <c r="E631" s="43">
        <f t="shared" si="38"/>
        <v>0.15106330422445494</v>
      </c>
      <c r="F631" s="43">
        <f t="shared" si="39"/>
        <v>0.14614400762865287</v>
      </c>
    </row>
    <row r="632" spans="2:6" ht="14.4" x14ac:dyDescent="0.3">
      <c r="B632" s="36">
        <v>0.60799999999999998</v>
      </c>
      <c r="C632" s="43">
        <f t="shared" si="36"/>
        <v>8941.8785484034124</v>
      </c>
      <c r="D632" s="43">
        <f t="shared" si="37"/>
        <v>0.36335824065615874</v>
      </c>
      <c r="E632" s="43">
        <f t="shared" si="38"/>
        <v>0.1510136504198647</v>
      </c>
      <c r="F632" s="43">
        <f t="shared" si="39"/>
        <v>0.1460955204900666</v>
      </c>
    </row>
    <row r="633" spans="2:6" ht="14.4" x14ac:dyDescent="0.3">
      <c r="B633" s="36">
        <v>0.60899999999999999</v>
      </c>
      <c r="C633" s="43">
        <f t="shared" si="36"/>
        <v>8941.3303622652566</v>
      </c>
      <c r="D633" s="43">
        <f t="shared" si="37"/>
        <v>0.36327223629441918</v>
      </c>
      <c r="E633" s="43">
        <f t="shared" si="38"/>
        <v>0.15096395201476459</v>
      </c>
      <c r="F633" s="43">
        <f t="shared" si="39"/>
        <v>0.14604701447294946</v>
      </c>
    </row>
    <row r="634" spans="2:6" ht="14.4" x14ac:dyDescent="0.3">
      <c r="B634" s="36">
        <v>0.61</v>
      </c>
      <c r="C634" s="43">
        <f t="shared" si="36"/>
        <v>8940.7818899478734</v>
      </c>
      <c r="D634" s="43">
        <f t="shared" si="37"/>
        <v>0.36318619939603969</v>
      </c>
      <c r="E634" s="43">
        <f t="shared" si="38"/>
        <v>0.15091420869508759</v>
      </c>
      <c r="F634" s="43">
        <f t="shared" si="39"/>
        <v>0.14599848931926587</v>
      </c>
    </row>
    <row r="635" spans="2:6" ht="14.4" x14ac:dyDescent="0.3">
      <c r="B635" s="36">
        <v>0.61099999999999999</v>
      </c>
      <c r="C635" s="43">
        <f t="shared" si="36"/>
        <v>8940.233128396867</v>
      </c>
      <c r="D635" s="43">
        <f t="shared" si="37"/>
        <v>0.36310012950426584</v>
      </c>
      <c r="E635" s="43">
        <f t="shared" si="38"/>
        <v>0.15086442014509638</v>
      </c>
      <c r="F635" s="43">
        <f t="shared" si="39"/>
        <v>0.1459499447700266</v>
      </c>
    </row>
    <row r="636" spans="2:6" ht="14.4" x14ac:dyDescent="0.3">
      <c r="B636" s="36">
        <v>0.61199999999999999</v>
      </c>
      <c r="C636" s="43">
        <f t="shared" si="36"/>
        <v>8939.6840745450336</v>
      </c>
      <c r="D636" s="43">
        <f t="shared" si="37"/>
        <v>0.36301402616066492</v>
      </c>
      <c r="E636" s="43">
        <f t="shared" si="38"/>
        <v>0.15081458604736442</v>
      </c>
      <c r="F636" s="43">
        <f t="shared" si="39"/>
        <v>0.14590138056527491</v>
      </c>
    </row>
    <row r="637" spans="2:6" ht="14.4" x14ac:dyDescent="0.3">
      <c r="B637" s="36">
        <v>0.61299999999999999</v>
      </c>
      <c r="C637" s="43">
        <f t="shared" si="36"/>
        <v>8939.1347253121821</v>
      </c>
      <c r="D637" s="43">
        <f t="shared" si="37"/>
        <v>0.36292788890510191</v>
      </c>
      <c r="E637" s="43">
        <f t="shared" si="38"/>
        <v>0.15076470608275708</v>
      </c>
      <c r="F637" s="43">
        <f t="shared" si="39"/>
        <v>0.14585279644407304</v>
      </c>
    </row>
    <row r="638" spans="2:6" ht="14.4" x14ac:dyDescent="0.3">
      <c r="B638" s="36">
        <v>0.61399999999999999</v>
      </c>
      <c r="C638" s="43">
        <f t="shared" si="36"/>
        <v>8938.5850776049792</v>
      </c>
      <c r="D638" s="43">
        <f t="shared" si="37"/>
        <v>0.36284171727571501</v>
      </c>
      <c r="E638" s="43">
        <f t="shared" si="38"/>
        <v>0.15071477993041221</v>
      </c>
      <c r="F638" s="43">
        <f t="shared" si="39"/>
        <v>0.14580419214448803</v>
      </c>
    </row>
    <row r="639" spans="2:6" ht="14.4" x14ac:dyDescent="0.3">
      <c r="B639" s="36">
        <v>0.61499999999999999</v>
      </c>
      <c r="C639" s="43">
        <f t="shared" si="36"/>
        <v>8938.0351283167656</v>
      </c>
      <c r="D639" s="43">
        <f t="shared" si="37"/>
        <v>0.36275551080889096</v>
      </c>
      <c r="E639" s="43">
        <f t="shared" si="38"/>
        <v>0.15066480726772066</v>
      </c>
      <c r="F639" s="43">
        <f t="shared" si="39"/>
        <v>0.14575556740357795</v>
      </c>
    </row>
    <row r="640" spans="2:6" ht="14.4" x14ac:dyDescent="0.3">
      <c r="B640" s="36">
        <v>0.61599999999999999</v>
      </c>
      <c r="C640" s="43">
        <f t="shared" si="36"/>
        <v>8937.4848743273869</v>
      </c>
      <c r="D640" s="43">
        <f t="shared" si="37"/>
        <v>0.36266926903924035</v>
      </c>
      <c r="E640" s="43">
        <f t="shared" si="38"/>
        <v>0.15061478777030665</v>
      </c>
      <c r="F640" s="43">
        <f t="shared" si="39"/>
        <v>0.1457069219573775</v>
      </c>
    </row>
    <row r="641" spans="2:6" ht="14.4" x14ac:dyDescent="0.3">
      <c r="B641" s="36">
        <v>0.61699999999999999</v>
      </c>
      <c r="C641" s="43">
        <f t="shared" si="36"/>
        <v>8936.9343125030173</v>
      </c>
      <c r="D641" s="43">
        <f t="shared" si="37"/>
        <v>0.3625829914995724</v>
      </c>
      <c r="E641" s="43">
        <f t="shared" si="38"/>
        <v>0.1505647211120078</v>
      </c>
      <c r="F641" s="43">
        <f t="shared" si="39"/>
        <v>0.14565825554088388</v>
      </c>
    </row>
    <row r="642" spans="2:6" ht="14.4" x14ac:dyDescent="0.3">
      <c r="B642" s="36">
        <v>0.61799999999999999</v>
      </c>
      <c r="C642" s="43">
        <f t="shared" si="36"/>
        <v>8936.3834396959846</v>
      </c>
      <c r="D642" s="43">
        <f t="shared" si="37"/>
        <v>0.36249667772086958</v>
      </c>
      <c r="E642" s="43">
        <f t="shared" si="38"/>
        <v>0.15051460696485502</v>
      </c>
      <c r="F642" s="43">
        <f t="shared" si="39"/>
        <v>0.14560956788804227</v>
      </c>
    </row>
    <row r="643" spans="2:6" ht="14.4" x14ac:dyDescent="0.3">
      <c r="B643" s="36">
        <v>0.61899999999999999</v>
      </c>
      <c r="C643" s="43">
        <f t="shared" si="36"/>
        <v>8935.8322527445889</v>
      </c>
      <c r="D643" s="43">
        <f t="shared" si="37"/>
        <v>0.36241032723226213</v>
      </c>
      <c r="E643" s="43">
        <f t="shared" si="38"/>
        <v>0.15046444499905204</v>
      </c>
      <c r="F643" s="43">
        <f t="shared" si="39"/>
        <v>0.14556085873173122</v>
      </c>
    </row>
    <row r="644" spans="2:6" ht="14.4" x14ac:dyDescent="0.3">
      <c r="B644" s="36">
        <v>0.62</v>
      </c>
      <c r="C644" s="43">
        <f t="shared" si="36"/>
        <v>8935.2807484729256</v>
      </c>
      <c r="D644" s="43">
        <f t="shared" si="37"/>
        <v>0.36232393956100228</v>
      </c>
      <c r="E644" s="43">
        <f t="shared" si="38"/>
        <v>0.15041423488295497</v>
      </c>
      <c r="F644" s="43">
        <f t="shared" si="39"/>
        <v>0.14551212780374803</v>
      </c>
    </row>
    <row r="645" spans="2:6" ht="14.4" x14ac:dyDescent="0.3">
      <c r="B645" s="36">
        <v>0.621</v>
      </c>
      <c r="C645" s="43">
        <f t="shared" si="36"/>
        <v>8934.7289236906981</v>
      </c>
      <c r="D645" s="43">
        <f t="shared" si="37"/>
        <v>0.36223751423243794</v>
      </c>
      <c r="E645" s="43">
        <f t="shared" si="38"/>
        <v>0.15036397628305131</v>
      </c>
      <c r="F645" s="43">
        <f t="shared" si="39"/>
        <v>0.14546337483479382</v>
      </c>
    </row>
    <row r="646" spans="2:6" ht="14.4" x14ac:dyDescent="0.3">
      <c r="B646" s="36">
        <v>0.622</v>
      </c>
      <c r="C646" s="43">
        <f t="shared" si="36"/>
        <v>8934.1767751930347</v>
      </c>
      <c r="D646" s="43">
        <f t="shared" si="37"/>
        <v>0.36215105076998666</v>
      </c>
      <c r="E646" s="43">
        <f t="shared" si="38"/>
        <v>0.15031366886393904</v>
      </c>
      <c r="F646" s="43">
        <f t="shared" si="39"/>
        <v>0.14541459955445846</v>
      </c>
    </row>
    <row r="647" spans="2:6" ht="14.4" x14ac:dyDescent="0.3">
      <c r="B647" s="36">
        <v>0.623</v>
      </c>
      <c r="C647" s="43">
        <f t="shared" si="36"/>
        <v>8933.6242997603094</v>
      </c>
      <c r="D647" s="43">
        <f t="shared" si="37"/>
        <v>0.36206454869510873</v>
      </c>
      <c r="E647" s="43">
        <f t="shared" si="38"/>
        <v>0.15026331228830508</v>
      </c>
      <c r="F647" s="43">
        <f t="shared" si="39"/>
        <v>0.14536580169120553</v>
      </c>
    </row>
    <row r="648" spans="2:6" ht="14.4" x14ac:dyDescent="0.3">
      <c r="B648" s="36">
        <v>0.624</v>
      </c>
      <c r="C648" s="43">
        <f t="shared" si="36"/>
        <v>8933.0714941579427</v>
      </c>
      <c r="D648" s="43">
        <f t="shared" si="37"/>
        <v>0.36197800752728065</v>
      </c>
      <c r="E648" s="43">
        <f t="shared" si="38"/>
        <v>0.15021290621690395</v>
      </c>
      <c r="F648" s="43">
        <f t="shared" si="39"/>
        <v>0.1453169809723569</v>
      </c>
    </row>
    <row r="649" spans="2:6" ht="14.4" x14ac:dyDescent="0.3">
      <c r="B649" s="36">
        <v>0.625</v>
      </c>
      <c r="C649" s="43">
        <f t="shared" si="36"/>
        <v>8932.5183551362152</v>
      </c>
      <c r="D649" s="43">
        <f t="shared" si="37"/>
        <v>0.36189142678396768</v>
      </c>
      <c r="E649" s="43">
        <f t="shared" si="38"/>
        <v>0.15016245030853581</v>
      </c>
      <c r="F649" s="43">
        <f t="shared" si="39"/>
        <v>0.14526813712407738</v>
      </c>
    </row>
    <row r="650" spans="2:6" ht="14.4" x14ac:dyDescent="0.3">
      <c r="B650" s="36">
        <v>0.626</v>
      </c>
      <c r="C650" s="43">
        <f t="shared" si="36"/>
        <v>8931.9648794300829</v>
      </c>
      <c r="D650" s="43">
        <f t="shared" si="37"/>
        <v>0.36180480598059661</v>
      </c>
      <c r="E650" s="43">
        <f t="shared" si="38"/>
        <v>0.15011194422002447</v>
      </c>
      <c r="F650" s="43">
        <f t="shared" si="39"/>
        <v>0.14521926987135886</v>
      </c>
    </row>
    <row r="651" spans="2:6" ht="14.4" x14ac:dyDescent="0.3">
      <c r="B651" s="36">
        <v>0.627</v>
      </c>
      <c r="C651" s="43">
        <f t="shared" si="36"/>
        <v>8931.4110637589692</v>
      </c>
      <c r="D651" s="43">
        <f t="shared" si="37"/>
        <v>0.36171814463052804</v>
      </c>
      <c r="E651" s="43">
        <f t="shared" si="38"/>
        <v>0.15006138760619506</v>
      </c>
      <c r="F651" s="43">
        <f t="shared" si="39"/>
        <v>0.1451703789380048</v>
      </c>
    </row>
    <row r="652" spans="2:6" ht="14.4" x14ac:dyDescent="0.3">
      <c r="B652" s="36">
        <v>0.628</v>
      </c>
      <c r="C652" s="43">
        <f t="shared" si="36"/>
        <v>8930.8569048265817</v>
      </c>
      <c r="D652" s="43">
        <f t="shared" si="37"/>
        <v>0.36163144224502836</v>
      </c>
      <c r="E652" s="43">
        <f t="shared" si="38"/>
        <v>0.15001078011985147</v>
      </c>
      <c r="F652" s="43">
        <f t="shared" si="39"/>
        <v>0.14512146404661411</v>
      </c>
    </row>
    <row r="653" spans="2:6" ht="14.4" x14ac:dyDescent="0.3">
      <c r="B653" s="36">
        <v>0.629</v>
      </c>
      <c r="C653" s="43">
        <f t="shared" si="36"/>
        <v>8930.3023993207062</v>
      </c>
      <c r="D653" s="43">
        <f t="shared" si="37"/>
        <v>0.3615446983332416</v>
      </c>
      <c r="E653" s="43">
        <f t="shared" si="38"/>
        <v>0.14996012141175336</v>
      </c>
      <c r="F653" s="43">
        <f t="shared" si="39"/>
        <v>0.14507252491856504</v>
      </c>
    </row>
    <row r="654" spans="2:6" ht="14.4" x14ac:dyDescent="0.3">
      <c r="B654" s="36">
        <v>0.63</v>
      </c>
      <c r="C654" s="43">
        <f t="shared" si="36"/>
        <v>8929.747543913003</v>
      </c>
      <c r="D654" s="43">
        <f t="shared" si="37"/>
        <v>0.36145791240216069</v>
      </c>
      <c r="E654" s="43">
        <f t="shared" si="38"/>
        <v>0.14990941113059331</v>
      </c>
      <c r="F654" s="43">
        <f t="shared" si="39"/>
        <v>0.1450235612739989</v>
      </c>
    </row>
    <row r="655" spans="2:6" ht="14.4" x14ac:dyDescent="0.3">
      <c r="B655" s="36">
        <v>0.63100000000000001</v>
      </c>
      <c r="C655" s="43">
        <f t="shared" si="36"/>
        <v>8929.1923352588165</v>
      </c>
      <c r="D655" s="43">
        <f t="shared" si="37"/>
        <v>0.36137108395659878</v>
      </c>
      <c r="E655" s="43">
        <f t="shared" si="38"/>
        <v>0.14985864892297313</v>
      </c>
      <c r="F655" s="43">
        <f t="shared" si="39"/>
        <v>0.14497457283180371</v>
      </c>
    </row>
    <row r="656" spans="2:6" ht="14.4" x14ac:dyDescent="0.3">
      <c r="B656" s="36">
        <v>0.63200000000000001</v>
      </c>
      <c r="C656" s="43">
        <f t="shared" si="36"/>
        <v>8928.6367699969578</v>
      </c>
      <c r="D656" s="43">
        <f t="shared" si="37"/>
        <v>0.36128421249915998</v>
      </c>
      <c r="E656" s="43">
        <f t="shared" si="38"/>
        <v>0.14980783443338036</v>
      </c>
      <c r="F656" s="43">
        <f t="shared" si="39"/>
        <v>0.14492555930959744</v>
      </c>
    </row>
    <row r="657" spans="2:6" ht="14.4" x14ac:dyDescent="0.3">
      <c r="B657" s="36">
        <v>0.63300000000000001</v>
      </c>
      <c r="C657" s="43">
        <f t="shared" si="36"/>
        <v>8928.0808447495001</v>
      </c>
      <c r="D657" s="43">
        <f t="shared" si="37"/>
        <v>0.36119729753021007</v>
      </c>
      <c r="E657" s="43">
        <f t="shared" si="38"/>
        <v>0.14975696730416438</v>
      </c>
      <c r="F657" s="43">
        <f t="shared" si="39"/>
        <v>0.14487652042371116</v>
      </c>
    </row>
    <row r="658" spans="2:6" ht="14.4" x14ac:dyDescent="0.3">
      <c r="B658" s="36">
        <v>0.63400000000000001</v>
      </c>
      <c r="C658" s="43">
        <f t="shared" si="36"/>
        <v>8927.5245561215743</v>
      </c>
      <c r="D658" s="43">
        <f t="shared" si="37"/>
        <v>0.36111033854784635</v>
      </c>
      <c r="E658" s="43">
        <f t="shared" si="38"/>
        <v>0.14970604717551195</v>
      </c>
      <c r="F658" s="43">
        <f t="shared" si="39"/>
        <v>0.14482745588917229</v>
      </c>
    </row>
    <row r="659" spans="2:6" ht="14.4" x14ac:dyDescent="0.3">
      <c r="B659" s="36">
        <v>0.63500000000000001</v>
      </c>
      <c r="C659" s="43">
        <f t="shared" si="36"/>
        <v>8926.9679007011509</v>
      </c>
      <c r="D659" s="43">
        <f t="shared" si="37"/>
        <v>0.36102333504786788</v>
      </c>
      <c r="E659" s="43">
        <f t="shared" si="38"/>
        <v>0.14965507368542288</v>
      </c>
      <c r="F659" s="43">
        <f t="shared" si="39"/>
        <v>0.14477836541968708</v>
      </c>
    </row>
    <row r="660" spans="2:6" ht="14.4" x14ac:dyDescent="0.3">
      <c r="B660" s="36">
        <v>0.63600000000000001</v>
      </c>
      <c r="C660" s="43">
        <f t="shared" si="36"/>
        <v>8926.4108750588293</v>
      </c>
      <c r="D660" s="43">
        <f t="shared" si="37"/>
        <v>0.36093628652374499</v>
      </c>
      <c r="E660" s="43">
        <f t="shared" si="38"/>
        <v>0.14960404646968506</v>
      </c>
      <c r="F660" s="43">
        <f t="shared" si="39"/>
        <v>0.14472924872762358</v>
      </c>
    </row>
    <row r="661" spans="2:6" ht="14.4" x14ac:dyDescent="0.3">
      <c r="B661" s="36">
        <v>0.63700000000000001</v>
      </c>
      <c r="C661" s="43">
        <f t="shared" si="36"/>
        <v>8925.8534757476191</v>
      </c>
      <c r="D661" s="43">
        <f t="shared" si="37"/>
        <v>0.36084919246658836</v>
      </c>
      <c r="E661" s="43">
        <f t="shared" si="38"/>
        <v>0.14955296516184949</v>
      </c>
      <c r="F661" s="43">
        <f t="shared" si="39"/>
        <v>0.14468010552399388</v>
      </c>
    </row>
    <row r="662" spans="2:6" ht="14.4" x14ac:dyDescent="0.3">
      <c r="B662" s="36">
        <v>0.63800000000000001</v>
      </c>
      <c r="C662" s="43">
        <f t="shared" si="36"/>
        <v>8925.2956993027201</v>
      </c>
      <c r="D662" s="43">
        <f t="shared" si="37"/>
        <v>0.3607620523651181</v>
      </c>
      <c r="E662" s="43">
        <f t="shared" si="38"/>
        <v>0.14950182939320458</v>
      </c>
      <c r="F662" s="43">
        <f t="shared" si="39"/>
        <v>0.14463093551843642</v>
      </c>
    </row>
    <row r="663" spans="2:6" ht="14.4" x14ac:dyDescent="0.3">
      <c r="B663" s="36">
        <v>0.63900000000000001</v>
      </c>
      <c r="C663" s="43">
        <f t="shared" si="36"/>
        <v>8924.7375422413043</v>
      </c>
      <c r="D663" s="43">
        <f t="shared" si="37"/>
        <v>0.36067486570563223</v>
      </c>
      <c r="E663" s="43">
        <f t="shared" si="38"/>
        <v>0.14945063879275067</v>
      </c>
      <c r="F663" s="43">
        <f t="shared" si="39"/>
        <v>0.14458173841919814</v>
      </c>
    </row>
    <row r="664" spans="2:6" ht="14.4" x14ac:dyDescent="0.3">
      <c r="B664" s="36">
        <v>0.64</v>
      </c>
      <c r="C664" s="43">
        <f t="shared" si="36"/>
        <v>8924.1790010622863</v>
      </c>
      <c r="D664" s="43">
        <f t="shared" si="37"/>
        <v>0.36058763197197496</v>
      </c>
      <c r="E664" s="43">
        <f t="shared" si="38"/>
        <v>0.14939939298717381</v>
      </c>
      <c r="F664" s="43">
        <f t="shared" si="39"/>
        <v>0.14453251393311611</v>
      </c>
    </row>
    <row r="665" spans="2:6" ht="14.4" x14ac:dyDescent="0.3">
      <c r="B665" s="36">
        <v>0.64100000000000001</v>
      </c>
      <c r="C665" s="43">
        <f t="shared" ref="C665:C728" si="40">_xlfn.BETA.INV((1-B665),$C$7,$C$8)*($C$5-$C$3)+$C$3</f>
        <v>8923.6200722460981</v>
      </c>
      <c r="D665" s="43">
        <f t="shared" ref="D665:D728" si="41">_xlfn.BETA.INV((1-B665),$D$7,$D$8)*($D$5-$D$3)+$D$3</f>
        <v>0.36050035064550434</v>
      </c>
      <c r="E665" s="43">
        <f t="shared" ref="E665:E728" si="42">_xlfn.BETA.INV((1-B665),$E$7,$E$8)*($E$5-$E$3)+$E$3</f>
        <v>0.14934809160081941</v>
      </c>
      <c r="F665" s="43">
        <f t="shared" ref="F665:F728" si="43">_xlfn.BETA.INV((1-B665),$F$7,$F$8)*($F$5-$F$3)+$F$3</f>
        <v>0.14448326176559953</v>
      </c>
    </row>
    <row r="666" spans="2:6" ht="14.4" x14ac:dyDescent="0.3">
      <c r="B666" s="36">
        <v>0.64200000000000002</v>
      </c>
      <c r="C666" s="43">
        <f t="shared" si="40"/>
        <v>8923.0607522544651</v>
      </c>
      <c r="D666" s="43">
        <f t="shared" si="41"/>
        <v>0.36041302120506014</v>
      </c>
      <c r="E666" s="43">
        <f t="shared" si="42"/>
        <v>0.1492967342556655</v>
      </c>
      <c r="F666" s="43">
        <f t="shared" si="43"/>
        <v>0.14443398162061086</v>
      </c>
    </row>
    <row r="667" spans="2:6" ht="14.4" x14ac:dyDescent="0.3">
      <c r="B667" s="36">
        <v>0.64300000000000002</v>
      </c>
      <c r="C667" s="43">
        <f t="shared" si="40"/>
        <v>8922.5010375301645</v>
      </c>
      <c r="D667" s="43">
        <f t="shared" si="41"/>
        <v>0.36032564312693066</v>
      </c>
      <c r="E667" s="43">
        <f t="shared" si="42"/>
        <v>0.14924532057129575</v>
      </c>
      <c r="F667" s="43">
        <f t="shared" si="43"/>
        <v>0.14438467320064724</v>
      </c>
    </row>
    <row r="668" spans="2:6" ht="14.4" x14ac:dyDescent="0.3">
      <c r="B668" s="36">
        <v>0.64400000000000002</v>
      </c>
      <c r="C668" s="43">
        <f t="shared" si="40"/>
        <v>8921.9409244967937</v>
      </c>
      <c r="D668" s="43">
        <f t="shared" si="41"/>
        <v>0.36023821588481958</v>
      </c>
      <c r="E668" s="43">
        <f t="shared" si="42"/>
        <v>0.14919385016487191</v>
      </c>
      <c r="F668" s="43">
        <f t="shared" si="43"/>
        <v>0.14433533620672151</v>
      </c>
    </row>
    <row r="669" spans="2:6" ht="14.4" x14ac:dyDescent="0.3">
      <c r="B669" s="36">
        <v>0.64500000000000002</v>
      </c>
      <c r="C669" s="43">
        <f t="shared" si="40"/>
        <v>8921.3804095585401</v>
      </c>
      <c r="D669" s="43">
        <f t="shared" si="41"/>
        <v>0.36015073894981242</v>
      </c>
      <c r="E669" s="43">
        <f t="shared" si="42"/>
        <v>0.1491423226511063</v>
      </c>
      <c r="F669" s="43">
        <f t="shared" si="43"/>
        <v>0.14428597033834289</v>
      </c>
    </row>
    <row r="670" spans="2:6" ht="14.4" x14ac:dyDescent="0.3">
      <c r="B670" s="36">
        <v>0.64600000000000002</v>
      </c>
      <c r="C670" s="43">
        <f t="shared" si="40"/>
        <v>8920.8194890999257</v>
      </c>
      <c r="D670" s="43">
        <f t="shared" si="41"/>
        <v>0.36006321179034251</v>
      </c>
      <c r="E670" s="43">
        <f t="shared" si="42"/>
        <v>0.14909073764223357</v>
      </c>
      <c r="F670" s="43">
        <f t="shared" si="43"/>
        <v>0.14423657529349779</v>
      </c>
    </row>
    <row r="671" spans="2:6" ht="14.4" x14ac:dyDescent="0.3">
      <c r="B671" s="36">
        <v>0.64700000000000002</v>
      </c>
      <c r="C671" s="43">
        <f t="shared" si="40"/>
        <v>8920.2581594855801</v>
      </c>
      <c r="D671" s="43">
        <f t="shared" si="41"/>
        <v>0.35997563387215648</v>
      </c>
      <c r="E671" s="43">
        <f t="shared" si="42"/>
        <v>0.14903909474798235</v>
      </c>
      <c r="F671" s="43">
        <f t="shared" si="43"/>
        <v>0.14418715076862995</v>
      </c>
    </row>
    <row r="672" spans="2:6" ht="14.4" x14ac:dyDescent="0.3">
      <c r="B672" s="36">
        <v>0.64800000000000002</v>
      </c>
      <c r="C672" s="43">
        <f t="shared" si="40"/>
        <v>8919.6964170599767</v>
      </c>
      <c r="D672" s="43">
        <f t="shared" si="41"/>
        <v>0.35988800465827969</v>
      </c>
      <c r="E672" s="43">
        <f t="shared" si="42"/>
        <v>0.14898739357554636</v>
      </c>
      <c r="F672" s="43">
        <f t="shared" si="43"/>
        <v>0.14413769645862076</v>
      </c>
    </row>
    <row r="673" spans="2:6" ht="14.4" x14ac:dyDescent="0.3">
      <c r="B673" s="36">
        <v>0.64900000000000002</v>
      </c>
      <c r="C673" s="43">
        <f t="shared" si="40"/>
        <v>8919.1342581472018</v>
      </c>
      <c r="D673" s="43">
        <f t="shared" si="41"/>
        <v>0.35980032360898084</v>
      </c>
      <c r="E673" s="43">
        <f t="shared" si="42"/>
        <v>0.14893563372955532</v>
      </c>
      <c r="F673" s="43">
        <f t="shared" si="43"/>
        <v>0.14408821205676905</v>
      </c>
    </row>
    <row r="674" spans="2:6" ht="14.4" x14ac:dyDescent="0.3">
      <c r="B674" s="36">
        <v>0.65</v>
      </c>
      <c r="C674" s="43">
        <f t="shared" si="40"/>
        <v>8918.5716790506867</v>
      </c>
      <c r="D674" s="43">
        <f t="shared" si="41"/>
        <v>0.35971259018173646</v>
      </c>
      <c r="E674" s="43">
        <f t="shared" si="42"/>
        <v>0.14888381481204543</v>
      </c>
      <c r="F674" s="43">
        <f t="shared" si="43"/>
        <v>0.14403869725477081</v>
      </c>
    </row>
    <row r="675" spans="2:6" ht="14.4" x14ac:dyDescent="0.3">
      <c r="B675" s="36">
        <v>0.65100000000000002</v>
      </c>
      <c r="C675" s="43">
        <f t="shared" si="40"/>
        <v>8918.0086760529612</v>
      </c>
      <c r="D675" s="43">
        <f t="shared" si="41"/>
        <v>0.35962480383119483</v>
      </c>
      <c r="E675" s="43">
        <f t="shared" si="42"/>
        <v>0.14883193642242931</v>
      </c>
      <c r="F675" s="43">
        <f t="shared" si="43"/>
        <v>0.14398915174269861</v>
      </c>
    </row>
    <row r="676" spans="2:6" ht="14.4" x14ac:dyDescent="0.3">
      <c r="B676" s="36">
        <v>0.65200000000000002</v>
      </c>
      <c r="C676" s="43">
        <f t="shared" si="40"/>
        <v>8917.4452454153925</v>
      </c>
      <c r="D676" s="43">
        <f t="shared" si="41"/>
        <v>0.35953696400913948</v>
      </c>
      <c r="E676" s="43">
        <f t="shared" si="42"/>
        <v>0.14877999815746584</v>
      </c>
      <c r="F676" s="43">
        <f t="shared" si="43"/>
        <v>0.14393957520898079</v>
      </c>
    </row>
    <row r="677" spans="2:6" ht="14.4" x14ac:dyDescent="0.3">
      <c r="B677" s="36">
        <v>0.65300000000000002</v>
      </c>
      <c r="C677" s="43">
        <f t="shared" si="40"/>
        <v>8916.8813833779222</v>
      </c>
      <c r="D677" s="43">
        <f t="shared" si="41"/>
        <v>0.3594490701644526</v>
      </c>
      <c r="E677" s="43">
        <f t="shared" si="42"/>
        <v>0.14872799961122946</v>
      </c>
      <c r="F677" s="43">
        <f t="shared" si="43"/>
        <v>0.14388996734038034</v>
      </c>
    </row>
    <row r="678" spans="2:6" ht="14.4" x14ac:dyDescent="0.3">
      <c r="B678" s="36">
        <v>0.65400000000000003</v>
      </c>
      <c r="C678" s="43">
        <f t="shared" si="40"/>
        <v>8916.3170861588023</v>
      </c>
      <c r="D678" s="43">
        <f t="shared" si="41"/>
        <v>0.35936112174307722</v>
      </c>
      <c r="E678" s="43">
        <f t="shared" si="42"/>
        <v>0.14867594037507897</v>
      </c>
      <c r="F678" s="43">
        <f t="shared" si="43"/>
        <v>0.14384032782197376</v>
      </c>
    </row>
    <row r="679" spans="2:6" ht="14.4" x14ac:dyDescent="0.3">
      <c r="B679" s="36">
        <v>0.65500000000000003</v>
      </c>
      <c r="C679" s="43">
        <f t="shared" si="40"/>
        <v>8915.7523499543295</v>
      </c>
      <c r="D679" s="43">
        <f t="shared" si="41"/>
        <v>0.35927311818797991</v>
      </c>
      <c r="E679" s="43">
        <f t="shared" si="42"/>
        <v>0.14862382003762609</v>
      </c>
      <c r="F679" s="43">
        <f t="shared" si="43"/>
        <v>0.14379065633712917</v>
      </c>
    </row>
    <row r="680" spans="2:6" ht="14.4" x14ac:dyDescent="0.3">
      <c r="B680" s="36">
        <v>0.65600000000000003</v>
      </c>
      <c r="C680" s="43">
        <f t="shared" si="40"/>
        <v>8915.1871709385687</v>
      </c>
      <c r="D680" s="43">
        <f t="shared" si="41"/>
        <v>0.35918505893911212</v>
      </c>
      <c r="E680" s="43">
        <f t="shared" si="42"/>
        <v>0.14857163818470351</v>
      </c>
      <c r="F680" s="43">
        <f t="shared" si="43"/>
        <v>0.14374095256748487</v>
      </c>
    </row>
    <row r="681" spans="2:6" ht="14.4" x14ac:dyDescent="0.3">
      <c r="B681" s="36">
        <v>0.65700000000000003</v>
      </c>
      <c r="C681" s="43">
        <f t="shared" si="40"/>
        <v>8914.621545263084</v>
      </c>
      <c r="D681" s="43">
        <f t="shared" si="41"/>
        <v>0.35909694343337195</v>
      </c>
      <c r="E681" s="43">
        <f t="shared" si="42"/>
        <v>0.14851939439933265</v>
      </c>
      <c r="F681" s="43">
        <f t="shared" si="43"/>
        <v>0.14369121619292685</v>
      </c>
    </row>
    <row r="682" spans="2:6" ht="14.4" x14ac:dyDescent="0.3">
      <c r="B682" s="36">
        <v>0.65800000000000003</v>
      </c>
      <c r="C682" s="43">
        <f t="shared" si="40"/>
        <v>8914.0554690566551</v>
      </c>
      <c r="D682" s="43">
        <f t="shared" si="41"/>
        <v>0.35900877110456458</v>
      </c>
      <c r="E682" s="43">
        <f t="shared" si="42"/>
        <v>0.1484670882616908</v>
      </c>
      <c r="F682" s="43">
        <f t="shared" si="43"/>
        <v>0.14364144689156674</v>
      </c>
    </row>
    <row r="683" spans="2:6" ht="14.4" x14ac:dyDescent="0.3">
      <c r="B683" s="36">
        <v>0.65900000000000003</v>
      </c>
      <c r="C683" s="43">
        <f t="shared" si="40"/>
        <v>8913.4889384249964</v>
      </c>
      <c r="D683" s="43">
        <f t="shared" si="41"/>
        <v>0.35892054138336271</v>
      </c>
      <c r="E683" s="43">
        <f t="shared" si="42"/>
        <v>0.14841471934907796</v>
      </c>
      <c r="F683" s="43">
        <f t="shared" si="43"/>
        <v>0.14359164433971894</v>
      </c>
    </row>
    <row r="684" spans="2:6" ht="14.4" x14ac:dyDescent="0.3">
      <c r="B684" s="36">
        <v>0.66</v>
      </c>
      <c r="C684" s="43">
        <f t="shared" si="40"/>
        <v>8912.9219494504723</v>
      </c>
      <c r="D684" s="43">
        <f t="shared" si="41"/>
        <v>0.35883225369726651</v>
      </c>
      <c r="E684" s="43">
        <f t="shared" si="42"/>
        <v>0.14836228723588316</v>
      </c>
      <c r="F684" s="43">
        <f t="shared" si="43"/>
        <v>0.14354180821187784</v>
      </c>
    </row>
    <row r="685" spans="2:6" ht="14.4" x14ac:dyDescent="0.3">
      <c r="B685" s="36">
        <v>0.66100000000000003</v>
      </c>
      <c r="C685" s="43">
        <f t="shared" si="40"/>
        <v>8912.3544981918149</v>
      </c>
      <c r="D685" s="43">
        <f t="shared" si="41"/>
        <v>0.35874390747056306</v>
      </c>
      <c r="E685" s="43">
        <f t="shared" si="42"/>
        <v>0.14830979149355047</v>
      </c>
      <c r="F685" s="43">
        <f t="shared" si="43"/>
        <v>0.14349193818069444</v>
      </c>
    </row>
    <row r="686" spans="2:6" ht="14.4" x14ac:dyDescent="0.3">
      <c r="B686" s="36">
        <v>0.66200000000000003</v>
      </c>
      <c r="C686" s="43">
        <f t="shared" si="40"/>
        <v>8911.7865806838126</v>
      </c>
      <c r="D686" s="43">
        <f t="shared" si="41"/>
        <v>0.35865550212428499</v>
      </c>
      <c r="E686" s="43">
        <f t="shared" si="42"/>
        <v>0.14825723169054439</v>
      </c>
      <c r="F686" s="43">
        <f t="shared" si="43"/>
        <v>0.14344203391695307</v>
      </c>
    </row>
    <row r="687" spans="2:6" ht="14.4" x14ac:dyDescent="0.3">
      <c r="B687" s="36">
        <v>0.66300000000000003</v>
      </c>
      <c r="C687" s="43">
        <f t="shared" si="40"/>
        <v>8911.2181929370381</v>
      </c>
      <c r="D687" s="43">
        <f t="shared" si="41"/>
        <v>0.35856703707616877</v>
      </c>
      <c r="E687" s="43">
        <f t="shared" si="42"/>
        <v>0.14820460739231478</v>
      </c>
      <c r="F687" s="43">
        <f t="shared" si="43"/>
        <v>0.14339209508954737</v>
      </c>
    </row>
    <row r="688" spans="2:6" ht="14.4" x14ac:dyDescent="0.3">
      <c r="B688" s="36">
        <v>0.66400000000000003</v>
      </c>
      <c r="C688" s="43">
        <f t="shared" si="40"/>
        <v>8910.6493309375273</v>
      </c>
      <c r="D688" s="43">
        <f t="shared" si="41"/>
        <v>0.3584785117406129</v>
      </c>
      <c r="E688" s="43">
        <f t="shared" si="42"/>
        <v>0.14815191816126158</v>
      </c>
      <c r="F688" s="43">
        <f t="shared" si="43"/>
        <v>0.14334212136545632</v>
      </c>
    </row>
    <row r="689" spans="2:6" ht="14.4" x14ac:dyDescent="0.3">
      <c r="B689" s="36">
        <v>0.66500000000000004</v>
      </c>
      <c r="C689" s="43">
        <f t="shared" si="40"/>
        <v>8910.0799906464854</v>
      </c>
      <c r="D689" s="43">
        <f t="shared" si="41"/>
        <v>0.35838992552863491</v>
      </c>
      <c r="E689" s="43">
        <f t="shared" si="42"/>
        <v>0.14809916355669861</v>
      </c>
      <c r="F689" s="43">
        <f t="shared" si="43"/>
        <v>0.14329211240971984</v>
      </c>
    </row>
    <row r="690" spans="2:6" ht="14.4" x14ac:dyDescent="0.3">
      <c r="B690" s="36">
        <v>0.66600000000000004</v>
      </c>
      <c r="C690" s="43">
        <f t="shared" si="40"/>
        <v>8909.5101679999771</v>
      </c>
      <c r="D690" s="43">
        <f t="shared" si="41"/>
        <v>0.35830127784782806</v>
      </c>
      <c r="E690" s="43">
        <f t="shared" si="42"/>
        <v>0.14804634313481729</v>
      </c>
      <c r="F690" s="43">
        <f t="shared" si="43"/>
        <v>0.14324206788541402</v>
      </c>
    </row>
    <row r="691" spans="2:6" ht="14.4" x14ac:dyDescent="0.3">
      <c r="B691" s="36">
        <v>0.66700000000000004</v>
      </c>
      <c r="C691" s="43">
        <f t="shared" si="40"/>
        <v>8908.9398589086122</v>
      </c>
      <c r="D691" s="43">
        <f t="shared" si="41"/>
        <v>0.35821256810231772</v>
      </c>
      <c r="E691" s="43">
        <f t="shared" si="42"/>
        <v>0.14799345644864964</v>
      </c>
      <c r="F691" s="43">
        <f t="shared" si="43"/>
        <v>0.14319198745362605</v>
      </c>
    </row>
    <row r="692" spans="2:6" ht="14.4" x14ac:dyDescent="0.3">
      <c r="B692" s="36">
        <v>0.66800000000000004</v>
      </c>
      <c r="C692" s="43">
        <f t="shared" si="40"/>
        <v>8908.3690592572348</v>
      </c>
      <c r="D692" s="43">
        <f t="shared" si="41"/>
        <v>0.35812379569271674</v>
      </c>
      <c r="E692" s="43">
        <f t="shared" si="42"/>
        <v>0.14794050304803077</v>
      </c>
      <c r="F692" s="43">
        <f t="shared" si="43"/>
        <v>0.14314187077342899</v>
      </c>
    </row>
    <row r="693" spans="2:6" ht="14.4" x14ac:dyDescent="0.3">
      <c r="B693" s="36">
        <v>0.66900000000000004</v>
      </c>
      <c r="C693" s="43">
        <f t="shared" si="40"/>
        <v>8907.7977649045934</v>
      </c>
      <c r="D693" s="43">
        <f t="shared" si="41"/>
        <v>0.35803496001608087</v>
      </c>
      <c r="E693" s="43">
        <f t="shared" si="42"/>
        <v>0.14788748247956107</v>
      </c>
      <c r="F693" s="43">
        <f t="shared" si="43"/>
        <v>0.14309171750185601</v>
      </c>
    </row>
    <row r="694" spans="2:6" ht="14.4" x14ac:dyDescent="0.3">
      <c r="B694" s="36">
        <v>0.67</v>
      </c>
      <c r="C694" s="43">
        <f t="shared" si="40"/>
        <v>8907.2259716830231</v>
      </c>
      <c r="D694" s="43">
        <f t="shared" si="41"/>
        <v>0.3579460604658628</v>
      </c>
      <c r="E694" s="43">
        <f t="shared" si="42"/>
        <v>0.1478343942865675</v>
      </c>
      <c r="F694" s="43">
        <f t="shared" si="43"/>
        <v>0.14304152729387432</v>
      </c>
    </row>
    <row r="695" spans="2:6" ht="14.4" x14ac:dyDescent="0.3">
      <c r="B695" s="36">
        <v>0.67100000000000004</v>
      </c>
      <c r="C695" s="43">
        <f t="shared" si="40"/>
        <v>8906.6536753981181</v>
      </c>
      <c r="D695" s="43">
        <f t="shared" si="41"/>
        <v>0.35785709643186642</v>
      </c>
      <c r="E695" s="43">
        <f t="shared" si="42"/>
        <v>0.14778123800906476</v>
      </c>
      <c r="F695" s="43">
        <f t="shared" si="43"/>
        <v>0.14299129980235897</v>
      </c>
    </row>
    <row r="696" spans="2:6" ht="14.4" x14ac:dyDescent="0.3">
      <c r="B696" s="36">
        <v>0.67200000000000004</v>
      </c>
      <c r="C696" s="43">
        <f t="shared" si="40"/>
        <v>8906.0808718283915</v>
      </c>
      <c r="D696" s="43">
        <f t="shared" si="41"/>
        <v>0.35776806730019978</v>
      </c>
      <c r="E696" s="43">
        <f t="shared" si="42"/>
        <v>0.14772801318371559</v>
      </c>
      <c r="F696" s="43">
        <f t="shared" si="43"/>
        <v>0.14294103467806604</v>
      </c>
    </row>
    <row r="697" spans="2:6" ht="14.4" x14ac:dyDescent="0.3">
      <c r="B697" s="36">
        <v>0.67300000000000004</v>
      </c>
      <c r="C697" s="43">
        <f t="shared" si="40"/>
        <v>8905.5075567249387</v>
      </c>
      <c r="D697" s="43">
        <f t="shared" si="41"/>
        <v>0.35767897245322799</v>
      </c>
      <c r="E697" s="43">
        <f t="shared" si="42"/>
        <v>0.14767471934379078</v>
      </c>
      <c r="F697" s="43">
        <f t="shared" si="43"/>
        <v>0.14289073156960552</v>
      </c>
    </row>
    <row r="698" spans="2:6" ht="14.4" x14ac:dyDescent="0.3">
      <c r="B698" s="36">
        <v>0.67400000000000004</v>
      </c>
      <c r="C698" s="43">
        <f t="shared" si="40"/>
        <v>8904.9337258111045</v>
      </c>
      <c r="D698" s="43">
        <f t="shared" si="41"/>
        <v>0.35758981126952522</v>
      </c>
      <c r="E698" s="43">
        <f t="shared" si="42"/>
        <v>0.14762135601912826</v>
      </c>
      <c r="F698" s="43">
        <f t="shared" si="43"/>
        <v>0.1428403901234141</v>
      </c>
    </row>
    <row r="699" spans="2:6" ht="14.4" x14ac:dyDescent="0.3">
      <c r="B699" s="36">
        <v>0.67500000000000004</v>
      </c>
      <c r="C699" s="43">
        <f t="shared" si="40"/>
        <v>8904.3593747821214</v>
      </c>
      <c r="D699" s="43">
        <f t="shared" si="41"/>
        <v>0.35750058312382593</v>
      </c>
      <c r="E699" s="43">
        <f t="shared" si="42"/>
        <v>0.14756792273609218</v>
      </c>
      <c r="F699" s="43">
        <f t="shared" si="43"/>
        <v>0.14279000998372721</v>
      </c>
    </row>
    <row r="700" spans="2:6" ht="14.4" x14ac:dyDescent="0.3">
      <c r="B700" s="36">
        <v>0.67600000000000005</v>
      </c>
      <c r="C700" s="43">
        <f t="shared" si="40"/>
        <v>8903.7844993047656</v>
      </c>
      <c r="D700" s="43">
        <f t="shared" si="41"/>
        <v>0.35741128738697575</v>
      </c>
      <c r="E700" s="43">
        <f t="shared" si="42"/>
        <v>0.14751441901753076</v>
      </c>
      <c r="F700" s="43">
        <f t="shared" si="43"/>
        <v>0.14273959079255097</v>
      </c>
    </row>
    <row r="701" spans="2:6" ht="14.4" x14ac:dyDescent="0.3">
      <c r="B701" s="36">
        <v>0.67700000000000005</v>
      </c>
      <c r="C701" s="43">
        <f t="shared" si="40"/>
        <v>8903.2090950170041</v>
      </c>
      <c r="D701" s="43">
        <f t="shared" si="41"/>
        <v>0.35732192342588165</v>
      </c>
      <c r="E701" s="43">
        <f t="shared" si="42"/>
        <v>0.14746084438273405</v>
      </c>
      <c r="F701" s="43">
        <f t="shared" si="43"/>
        <v>0.14268913218963364</v>
      </c>
    </row>
    <row r="702" spans="2:6" ht="14.4" x14ac:dyDescent="0.3">
      <c r="B702" s="36">
        <v>0.67800000000000005</v>
      </c>
      <c r="C702" s="43">
        <f t="shared" si="40"/>
        <v>8902.6331575276236</v>
      </c>
      <c r="D702" s="43">
        <f t="shared" si="41"/>
        <v>0.35723249060346118</v>
      </c>
      <c r="E702" s="43">
        <f t="shared" si="42"/>
        <v>0.14740719834739083</v>
      </c>
      <c r="F702" s="43">
        <f t="shared" si="43"/>
        <v>0.14263863381243674</v>
      </c>
    </row>
    <row r="703" spans="2:6" ht="14.4" x14ac:dyDescent="0.3">
      <c r="B703" s="36">
        <v>0.67900000000000005</v>
      </c>
      <c r="C703" s="43">
        <f t="shared" si="40"/>
        <v>8902.0566824158705</v>
      </c>
      <c r="D703" s="43">
        <f t="shared" si="41"/>
        <v>0.35714298827859137</v>
      </c>
      <c r="E703" s="43">
        <f t="shared" si="42"/>
        <v>0.14735348042354501</v>
      </c>
      <c r="F703" s="43">
        <f t="shared" si="43"/>
        <v>0.14258809529610569</v>
      </c>
    </row>
    <row r="704" spans="2:6" ht="14.4" x14ac:dyDescent="0.3">
      <c r="B704" s="36">
        <v>0.68</v>
      </c>
      <c r="C704" s="43">
        <f t="shared" si="40"/>
        <v>8901.4796652310779</v>
      </c>
      <c r="D704" s="43">
        <f t="shared" si="41"/>
        <v>0.35705341580605682</v>
      </c>
      <c r="E704" s="43">
        <f t="shared" si="42"/>
        <v>0.14729969011955124</v>
      </c>
      <c r="F704" s="43">
        <f t="shared" si="43"/>
        <v>0.14253751627344019</v>
      </c>
    </row>
    <row r="705" spans="2:6" ht="14.4" x14ac:dyDescent="0.3">
      <c r="B705" s="36">
        <v>0.68100000000000005</v>
      </c>
      <c r="C705" s="43">
        <f t="shared" si="40"/>
        <v>8900.902101492291</v>
      </c>
      <c r="D705" s="43">
        <f t="shared" si="41"/>
        <v>0.35696377253649669</v>
      </c>
      <c r="E705" s="43">
        <f t="shared" si="42"/>
        <v>0.14724582694003019</v>
      </c>
      <c r="F705" s="43">
        <f t="shared" si="43"/>
        <v>0.14248689637486406</v>
      </c>
    </row>
    <row r="706" spans="2:6" ht="14.4" x14ac:dyDescent="0.3">
      <c r="B706" s="36">
        <v>0.68200000000000005</v>
      </c>
      <c r="C706" s="43">
        <f t="shared" si="40"/>
        <v>8900.3239866878757</v>
      </c>
      <c r="D706" s="43">
        <f t="shared" si="41"/>
        <v>0.35687405781635173</v>
      </c>
      <c r="E706" s="43">
        <f t="shared" si="42"/>
        <v>0.14719189038582287</v>
      </c>
      <c r="F706" s="43">
        <f t="shared" si="43"/>
        <v>0.1424362352283948</v>
      </c>
    </row>
    <row r="707" spans="2:6" ht="14.4" x14ac:dyDescent="0.3">
      <c r="B707" s="36">
        <v>0.68300000000000005</v>
      </c>
      <c r="C707" s="43">
        <f t="shared" si="40"/>
        <v>8899.7453162751463</v>
      </c>
      <c r="D707" s="43">
        <f t="shared" si="41"/>
        <v>0.35678427098781007</v>
      </c>
      <c r="E707" s="43">
        <f t="shared" si="42"/>
        <v>0.14713787995394442</v>
      </c>
      <c r="F707" s="43">
        <f t="shared" si="43"/>
        <v>0.14238553245961255</v>
      </c>
    </row>
    <row r="708" spans="2:6" ht="14.4" x14ac:dyDescent="0.3">
      <c r="B708" s="36">
        <v>0.68400000000000005</v>
      </c>
      <c r="C708" s="43">
        <f t="shared" si="40"/>
        <v>8899.1660856799608</v>
      </c>
      <c r="D708" s="43">
        <f t="shared" si="41"/>
        <v>0.35669441138875213</v>
      </c>
      <c r="E708" s="43">
        <f t="shared" si="42"/>
        <v>0.14708379513753728</v>
      </c>
      <c r="F708" s="43">
        <f t="shared" si="43"/>
        <v>0.14233478769162877</v>
      </c>
    </row>
    <row r="709" spans="2:6" ht="14.4" x14ac:dyDescent="0.3">
      <c r="B709" s="36">
        <v>0.68500000000000005</v>
      </c>
      <c r="C709" s="43">
        <f t="shared" si="40"/>
        <v>8898.5862902963272</v>
      </c>
      <c r="D709" s="43">
        <f t="shared" si="41"/>
        <v>0.35660447835269526</v>
      </c>
      <c r="E709" s="43">
        <f t="shared" si="42"/>
        <v>0.14702963542582356</v>
      </c>
      <c r="F709" s="43">
        <f t="shared" si="43"/>
        <v>0.1422840005450545</v>
      </c>
    </row>
    <row r="710" spans="2:6" ht="14.4" x14ac:dyDescent="0.3">
      <c r="B710" s="36">
        <v>0.68600000000000005</v>
      </c>
      <c r="C710" s="43">
        <f t="shared" si="40"/>
        <v>8898.0059254859952</v>
      </c>
      <c r="D710" s="43">
        <f t="shared" si="41"/>
        <v>0.35651447120873714</v>
      </c>
      <c r="E710" s="43">
        <f t="shared" si="42"/>
        <v>0.14697540030405687</v>
      </c>
      <c r="F710" s="43">
        <f t="shared" si="43"/>
        <v>0.14223317063796809</v>
      </c>
    </row>
    <row r="711" spans="2:6" ht="14.4" x14ac:dyDescent="0.3">
      <c r="B711" s="36">
        <v>0.68700000000000006</v>
      </c>
      <c r="C711" s="43">
        <f t="shared" si="40"/>
        <v>8897.4249865780585</v>
      </c>
      <c r="D711" s="43">
        <f t="shared" si="41"/>
        <v>0.35642438928149889</v>
      </c>
      <c r="E711" s="43">
        <f t="shared" si="42"/>
        <v>0.14692108925347327</v>
      </c>
      <c r="F711" s="43">
        <f t="shared" si="43"/>
        <v>0.14218229758588244</v>
      </c>
    </row>
    <row r="712" spans="2:6" ht="14.4" x14ac:dyDescent="0.3">
      <c r="B712" s="36">
        <v>0.68799999999999994</v>
      </c>
      <c r="C712" s="43">
        <f t="shared" si="40"/>
        <v>8896.8434688685211</v>
      </c>
      <c r="D712" s="43">
        <f t="shared" si="41"/>
        <v>0.35633423189106667</v>
      </c>
      <c r="E712" s="43">
        <f t="shared" si="42"/>
        <v>0.14686670175124156</v>
      </c>
      <c r="F712" s="43">
        <f t="shared" si="43"/>
        <v>0.14213138100171191</v>
      </c>
    </row>
    <row r="713" spans="2:6" ht="14.4" x14ac:dyDescent="0.3">
      <c r="B713" s="36">
        <v>0.68899999999999995</v>
      </c>
      <c r="C713" s="43">
        <f t="shared" si="40"/>
        <v>8896.2613676198907</v>
      </c>
      <c r="D713" s="43">
        <f t="shared" si="41"/>
        <v>0.35624399835293319</v>
      </c>
      <c r="E713" s="43">
        <f t="shared" si="42"/>
        <v>0.14681223727041293</v>
      </c>
      <c r="F713" s="43">
        <f t="shared" si="43"/>
        <v>0.14208042049573871</v>
      </c>
    </row>
    <row r="714" spans="2:6" ht="14.4" x14ac:dyDescent="0.3">
      <c r="B714" s="36">
        <v>0.69</v>
      </c>
      <c r="C714" s="43">
        <f t="shared" si="40"/>
        <v>8895.6786780607472</v>
      </c>
      <c r="D714" s="43">
        <f t="shared" si="41"/>
        <v>0.356153687977938</v>
      </c>
      <c r="E714" s="43">
        <f t="shared" si="42"/>
        <v>0.14675769527986965</v>
      </c>
      <c r="F714" s="43">
        <f t="shared" si="43"/>
        <v>0.14202941567557875</v>
      </c>
    </row>
    <row r="715" spans="2:6" ht="14.4" x14ac:dyDescent="0.3">
      <c r="B715" s="36">
        <v>0.69099999999999995</v>
      </c>
      <c r="C715" s="43">
        <f t="shared" si="40"/>
        <v>8895.0953953853023</v>
      </c>
      <c r="D715" s="43">
        <f t="shared" si="41"/>
        <v>0.35606330007220693</v>
      </c>
      <c r="E715" s="43">
        <f t="shared" si="42"/>
        <v>0.14670307524427334</v>
      </c>
      <c r="F715" s="43">
        <f t="shared" si="43"/>
        <v>0.14197836614614712</v>
      </c>
    </row>
    <row r="716" spans="2:6" ht="14.4" x14ac:dyDescent="0.3">
      <c r="B716" s="36">
        <v>0.69199999999999995</v>
      </c>
      <c r="C716" s="43">
        <f t="shared" si="40"/>
        <v>8894.5115147529705</v>
      </c>
      <c r="D716" s="43">
        <f t="shared" si="41"/>
        <v>0.35597283393709078</v>
      </c>
      <c r="E716" s="43">
        <f t="shared" si="42"/>
        <v>0.14664837662401209</v>
      </c>
      <c r="F716" s="43">
        <f t="shared" si="43"/>
        <v>0.14192727150962287</v>
      </c>
    </row>
    <row r="717" spans="2:6" ht="14.4" x14ac:dyDescent="0.3">
      <c r="B717" s="36">
        <v>0.69299999999999995</v>
      </c>
      <c r="C717" s="43">
        <f t="shared" si="40"/>
        <v>8893.9270312879107</v>
      </c>
      <c r="D717" s="43">
        <f t="shared" si="41"/>
        <v>0.35588228886910311</v>
      </c>
      <c r="E717" s="43">
        <f t="shared" si="42"/>
        <v>0.14659359887514689</v>
      </c>
      <c r="F717" s="43">
        <f t="shared" si="43"/>
        <v>0.1418761313654136</v>
      </c>
    </row>
    <row r="718" spans="2:6" ht="14.4" x14ac:dyDescent="0.3">
      <c r="B718" s="36">
        <v>0.69399999999999995</v>
      </c>
      <c r="C718" s="43">
        <f t="shared" si="40"/>
        <v>8893.341940078586</v>
      </c>
      <c r="D718" s="43">
        <f t="shared" si="41"/>
        <v>0.35579166415985702</v>
      </c>
      <c r="E718" s="43">
        <f t="shared" si="42"/>
        <v>0.14653874144935752</v>
      </c>
      <c r="F718" s="43">
        <f t="shared" si="43"/>
        <v>0.1418249453101193</v>
      </c>
    </row>
    <row r="719" spans="2:6" ht="14.4" x14ac:dyDescent="0.3">
      <c r="B719" s="36">
        <v>0.69499999999999995</v>
      </c>
      <c r="C719" s="43">
        <f t="shared" si="40"/>
        <v>8892.7562361772925</v>
      </c>
      <c r="D719" s="43">
        <f t="shared" si="41"/>
        <v>0.35570095909600119</v>
      </c>
      <c r="E719" s="43">
        <f t="shared" si="42"/>
        <v>0.14648380379388726</v>
      </c>
      <c r="F719" s="43">
        <f t="shared" si="43"/>
        <v>0.14177371293749569</v>
      </c>
    </row>
    <row r="720" spans="2:6" ht="14.4" x14ac:dyDescent="0.3">
      <c r="B720" s="36">
        <v>0.69599999999999995</v>
      </c>
      <c r="C720" s="43">
        <f t="shared" si="40"/>
        <v>8892.1699145996972</v>
      </c>
      <c r="D720" s="43">
        <f t="shared" si="41"/>
        <v>0.35561017295915492</v>
      </c>
      <c r="E720" s="43">
        <f t="shared" si="42"/>
        <v>0.14642878535148696</v>
      </c>
      <c r="F720" s="43">
        <f t="shared" si="43"/>
        <v>0.14172243383841698</v>
      </c>
    </row>
    <row r="721" spans="2:6" ht="14.4" x14ac:dyDescent="0.3">
      <c r="B721" s="36">
        <v>0.69699999999999995</v>
      </c>
      <c r="C721" s="43">
        <f t="shared" si="40"/>
        <v>8891.5829703243653</v>
      </c>
      <c r="D721" s="43">
        <f t="shared" si="41"/>
        <v>0.35551930502584217</v>
      </c>
      <c r="E721" s="43">
        <f t="shared" si="42"/>
        <v>0.14637368556035821</v>
      </c>
      <c r="F721" s="43">
        <f t="shared" si="43"/>
        <v>0.14167110760083845</v>
      </c>
    </row>
    <row r="722" spans="2:6" ht="14.4" x14ac:dyDescent="0.3">
      <c r="B722" s="36">
        <v>0.69799999999999995</v>
      </c>
      <c r="C722" s="43">
        <f t="shared" si="40"/>
        <v>8890.9953982922852</v>
      </c>
      <c r="D722" s="43">
        <f t="shared" si="41"/>
        <v>0.35542835456742455</v>
      </c>
      <c r="E722" s="43">
        <f t="shared" si="42"/>
        <v>0.14631850385409567</v>
      </c>
      <c r="F722" s="43">
        <f t="shared" si="43"/>
        <v>0.1416197338097579</v>
      </c>
    </row>
    <row r="723" spans="2:6" ht="14.4" x14ac:dyDescent="0.3">
      <c r="B723" s="36">
        <v>0.69899999999999995</v>
      </c>
      <c r="C723" s="43">
        <f t="shared" si="40"/>
        <v>8890.4071934063668</v>
      </c>
      <c r="D723" s="43">
        <f t="shared" si="41"/>
        <v>0.35533732085003372</v>
      </c>
      <c r="E723" s="43">
        <f t="shared" si="42"/>
        <v>0.14626323966162844</v>
      </c>
      <c r="F723" s="43">
        <f t="shared" si="43"/>
        <v>0.14156831204717696</v>
      </c>
    </row>
    <row r="724" spans="2:6" ht="14.4" x14ac:dyDescent="0.3">
      <c r="B724" s="36">
        <v>0.7</v>
      </c>
      <c r="C724" s="43">
        <f t="shared" si="40"/>
        <v>8889.8183505309589</v>
      </c>
      <c r="D724" s="43">
        <f t="shared" si="41"/>
        <v>0.35524620313450217</v>
      </c>
      <c r="E724" s="43">
        <f t="shared" si="42"/>
        <v>0.14620789240716056</v>
      </c>
      <c r="F724" s="43">
        <f t="shared" si="43"/>
        <v>0.14151684189206168</v>
      </c>
    </row>
    <row r="725" spans="2:6" ht="14.4" x14ac:dyDescent="0.3">
      <c r="B725" s="36">
        <v>0.70099999999999996</v>
      </c>
      <c r="C725" s="43">
        <f t="shared" si="40"/>
        <v>8889.2288644913424</v>
      </c>
      <c r="D725" s="43">
        <f t="shared" si="41"/>
        <v>0.35515500067629369</v>
      </c>
      <c r="E725" s="43">
        <f t="shared" si="42"/>
        <v>0.14615246151011074</v>
      </c>
      <c r="F725" s="43">
        <f t="shared" si="43"/>
        <v>0.14146532292030264</v>
      </c>
    </row>
    <row r="726" spans="2:6" ht="14.4" x14ac:dyDescent="0.3">
      <c r="B726" s="36">
        <v>0.70199999999999996</v>
      </c>
      <c r="C726" s="43">
        <f t="shared" si="40"/>
        <v>8888.6387300732204</v>
      </c>
      <c r="D726" s="43">
        <f t="shared" si="41"/>
        <v>0.35506371272543197</v>
      </c>
      <c r="E726" s="43">
        <f t="shared" si="42"/>
        <v>0.14609694638505086</v>
      </c>
      <c r="F726" s="43">
        <f t="shared" si="43"/>
        <v>0.14141375470467415</v>
      </c>
    </row>
    <row r="727" spans="2:6" ht="14.4" x14ac:dyDescent="0.3">
      <c r="B727" s="36">
        <v>0.70299999999999996</v>
      </c>
      <c r="C727" s="43">
        <f t="shared" si="40"/>
        <v>8888.0479420222036</v>
      </c>
      <c r="D727" s="43">
        <f t="shared" si="41"/>
        <v>0.35497233852642912</v>
      </c>
      <c r="E727" s="43">
        <f t="shared" si="42"/>
        <v>0.14604134644164374</v>
      </c>
      <c r="F727" s="43">
        <f t="shared" si="43"/>
        <v>0.14136213681479337</v>
      </c>
    </row>
    <row r="728" spans="2:6" ht="14.4" x14ac:dyDescent="0.3">
      <c r="B728" s="36">
        <v>0.70399999999999996</v>
      </c>
      <c r="C728" s="43">
        <f t="shared" si="40"/>
        <v>8887.4564950432759</v>
      </c>
      <c r="D728" s="43">
        <f t="shared" si="41"/>
        <v>0.35488087731821211</v>
      </c>
      <c r="E728" s="43">
        <f t="shared" si="42"/>
        <v>0.14598566108457983</v>
      </c>
      <c r="F728" s="43">
        <f t="shared" si="43"/>
        <v>0.14131046881707818</v>
      </c>
    </row>
    <row r="729" spans="2:6" ht="14.4" x14ac:dyDescent="0.3">
      <c r="B729" s="36">
        <v>0.70499999999999996</v>
      </c>
      <c r="C729" s="43">
        <f t="shared" ref="C729:C792" si="44">_xlfn.BETA.INV((1-B729),$C$7,$C$8)*($C$5-$C$3)+$C$3</f>
        <v>8886.8643838002718</v>
      </c>
      <c r="D729" s="43">
        <f t="shared" ref="D729:D792" si="45">_xlfn.BETA.INV((1-B729),$D$7,$D$8)*($D$5-$D$3)+$D$3</f>
        <v>0.35478932833404886</v>
      </c>
      <c r="E729" s="43">
        <f t="shared" ref="E729:E792" si="46">_xlfn.BETA.INV((1-B729),$E$7,$E$8)*($E$5-$E$3)+$E$3</f>
        <v>0.14592988971351306</v>
      </c>
      <c r="F729" s="43">
        <f t="shared" ref="F729:F792" si="47">_xlfn.BETA.INV((1-B729),$F$7,$F$8)*($F$5-$F$3)+$F$3</f>
        <v>0.14125875027470497</v>
      </c>
    </row>
    <row r="730" spans="2:6" ht="14.4" x14ac:dyDescent="0.3">
      <c r="B730" s="36">
        <v>0.70599999999999996</v>
      </c>
      <c r="C730" s="43">
        <f t="shared" si="44"/>
        <v>8886.2716029153289</v>
      </c>
      <c r="D730" s="43">
        <f t="shared" si="45"/>
        <v>0.35469769080147273</v>
      </c>
      <c r="E730" s="43">
        <f t="shared" si="46"/>
        <v>0.14587403172299551</v>
      </c>
      <c r="F730" s="43">
        <f t="shared" si="47"/>
        <v>0.14120698074756555</v>
      </c>
    </row>
    <row r="731" spans="2:6" ht="14.4" x14ac:dyDescent="0.3">
      <c r="B731" s="36">
        <v>0.70699999999999996</v>
      </c>
      <c r="C731" s="43">
        <f t="shared" si="44"/>
        <v>8885.6781469683356</v>
      </c>
      <c r="D731" s="43">
        <f t="shared" si="45"/>
        <v>0.35460596394220634</v>
      </c>
      <c r="E731" s="43">
        <f t="shared" si="46"/>
        <v>0.14581808650241096</v>
      </c>
      <c r="F731" s="43">
        <f t="shared" si="47"/>
        <v>0.14115515979222318</v>
      </c>
    </row>
    <row r="732" spans="2:6" ht="14.4" x14ac:dyDescent="0.3">
      <c r="B732" s="36">
        <v>0.70799999999999996</v>
      </c>
      <c r="C732" s="43">
        <f t="shared" si="44"/>
        <v>8885.0840104963791</v>
      </c>
      <c r="D732" s="43">
        <f t="shared" si="45"/>
        <v>0.35451414697208344</v>
      </c>
      <c r="E732" s="43">
        <f t="shared" si="46"/>
        <v>0.14576205343590773</v>
      </c>
      <c r="F732" s="43">
        <f t="shared" si="47"/>
        <v>0.14110328696186852</v>
      </c>
    </row>
    <row r="733" spans="2:6" ht="14.4" x14ac:dyDescent="0.3">
      <c r="B733" s="36">
        <v>0.70899999999999996</v>
      </c>
      <c r="C733" s="43">
        <f t="shared" si="44"/>
        <v>8884.4891879931693</v>
      </c>
      <c r="D733" s="43">
        <f t="shared" si="45"/>
        <v>0.35442223910097076</v>
      </c>
      <c r="E733" s="43">
        <f t="shared" si="46"/>
        <v>0.14570593190233019</v>
      </c>
      <c r="F733" s="43">
        <f t="shared" si="47"/>
        <v>0.14105136180627423</v>
      </c>
    </row>
    <row r="734" spans="2:6" ht="14.4" x14ac:dyDescent="0.3">
      <c r="B734" s="36">
        <v>0.71</v>
      </c>
      <c r="C734" s="43">
        <f t="shared" si="44"/>
        <v>8883.8936739084729</v>
      </c>
      <c r="D734" s="43">
        <f t="shared" si="45"/>
        <v>0.35433023953268727</v>
      </c>
      <c r="E734" s="43">
        <f t="shared" si="46"/>
        <v>0.14564972127514916</v>
      </c>
      <c r="F734" s="43">
        <f t="shared" si="47"/>
        <v>0.14099938387174932</v>
      </c>
    </row>
    <row r="735" spans="2:6" ht="14.4" x14ac:dyDescent="0.3">
      <c r="B735" s="36">
        <v>0.71099999999999997</v>
      </c>
      <c r="C735" s="43">
        <f t="shared" si="44"/>
        <v>8883.297462647517</v>
      </c>
      <c r="D735" s="43">
        <f t="shared" si="45"/>
        <v>0.35423814746492333</v>
      </c>
      <c r="E735" s="43">
        <f t="shared" si="46"/>
        <v>0.14559342092239136</v>
      </c>
      <c r="F735" s="43">
        <f t="shared" si="47"/>
        <v>0.1409473527010926</v>
      </c>
    </row>
    <row r="736" spans="2:6" ht="14.4" x14ac:dyDescent="0.3">
      <c r="B736" s="36">
        <v>0.71199999999999997</v>
      </c>
      <c r="C736" s="43">
        <f t="shared" si="44"/>
        <v>8882.700548570403</v>
      </c>
      <c r="D736" s="43">
        <f t="shared" si="45"/>
        <v>0.35414596208915811</v>
      </c>
      <c r="E736" s="43">
        <f t="shared" si="46"/>
        <v>0.14553703020656761</v>
      </c>
      <c r="F736" s="43">
        <f t="shared" si="47"/>
        <v>0.14089526783354556</v>
      </c>
    </row>
    <row r="737" spans="2:6" ht="14.4" x14ac:dyDescent="0.3">
      <c r="B737" s="36">
        <v>0.71299999999999997</v>
      </c>
      <c r="C737" s="43">
        <f t="shared" si="44"/>
        <v>8882.1029259914994</v>
      </c>
      <c r="D737" s="43">
        <f t="shared" si="45"/>
        <v>0.35405368259057551</v>
      </c>
      <c r="E737" s="43">
        <f t="shared" si="46"/>
        <v>0.14548054848459979</v>
      </c>
      <c r="F737" s="43">
        <f t="shared" si="47"/>
        <v>0.14084312880474426</v>
      </c>
    </row>
    <row r="738" spans="2:6" ht="14.4" x14ac:dyDescent="0.3">
      <c r="B738" s="36">
        <v>0.71399999999999997</v>
      </c>
      <c r="C738" s="43">
        <f t="shared" si="44"/>
        <v>8881.5045891788304</v>
      </c>
      <c r="D738" s="43">
        <f t="shared" si="45"/>
        <v>0.35396130814797933</v>
      </c>
      <c r="E738" s="43">
        <f t="shared" si="46"/>
        <v>0.14542397510774696</v>
      </c>
      <c r="F738" s="43">
        <f t="shared" si="47"/>
        <v>0.14079093514667074</v>
      </c>
    </row>
    <row r="739" spans="2:6" ht="14.4" x14ac:dyDescent="0.3">
      <c r="B739" s="36">
        <v>0.71499999999999997</v>
      </c>
      <c r="C739" s="43">
        <f t="shared" si="44"/>
        <v>8880.9055323534467</v>
      </c>
      <c r="D739" s="43">
        <f t="shared" si="45"/>
        <v>0.35386883793370644</v>
      </c>
      <c r="E739" s="43">
        <f t="shared" si="46"/>
        <v>0.1453673094215297</v>
      </c>
      <c r="F739" s="43">
        <f t="shared" si="47"/>
        <v>0.1407386863876034</v>
      </c>
    </row>
    <row r="740" spans="2:6" ht="14.4" x14ac:dyDescent="0.3">
      <c r="B740" s="36">
        <v>0.71599999999999997</v>
      </c>
      <c r="C740" s="43">
        <f t="shared" si="44"/>
        <v>8880.3057496887996</v>
      </c>
      <c r="D740" s="43">
        <f t="shared" si="45"/>
        <v>0.35377627111353921</v>
      </c>
      <c r="E740" s="43">
        <f t="shared" si="46"/>
        <v>0.14531055076565386</v>
      </c>
      <c r="F740" s="43">
        <f t="shared" si="47"/>
        <v>0.14068638205206693</v>
      </c>
    </row>
    <row r="741" spans="2:6" ht="14.4" x14ac:dyDescent="0.3">
      <c r="B741" s="36">
        <v>0.71699999999999997</v>
      </c>
      <c r="C741" s="43">
        <f t="shared" si="44"/>
        <v>8879.7052353100935</v>
      </c>
      <c r="D741" s="43">
        <f t="shared" si="45"/>
        <v>0.35368360684661615</v>
      </c>
      <c r="E741" s="43">
        <f t="shared" si="46"/>
        <v>0.14525369847393252</v>
      </c>
      <c r="F741" s="43">
        <f t="shared" si="47"/>
        <v>0.14063402166078107</v>
      </c>
    </row>
    <row r="742" spans="2:6" ht="14.4" x14ac:dyDescent="0.3">
      <c r="B742" s="36">
        <v>0.71799999999999997</v>
      </c>
      <c r="C742" s="43">
        <f t="shared" si="44"/>
        <v>8879.1039832936367</v>
      </c>
      <c r="D742" s="43">
        <f t="shared" si="45"/>
        <v>0.35359084428534115</v>
      </c>
      <c r="E742" s="43">
        <f t="shared" si="46"/>
        <v>0.14519675187420703</v>
      </c>
      <c r="F742" s="43">
        <f t="shared" si="47"/>
        <v>0.14058160473060877</v>
      </c>
    </row>
    <row r="743" spans="2:6" ht="14.4" x14ac:dyDescent="0.3">
      <c r="B743" s="36">
        <v>0.71899999999999997</v>
      </c>
      <c r="C743" s="43">
        <f t="shared" si="44"/>
        <v>8878.5019876661663</v>
      </c>
      <c r="D743" s="43">
        <f t="shared" si="45"/>
        <v>0.35349798257529153</v>
      </c>
      <c r="E743" s="43">
        <f t="shared" si="46"/>
        <v>0.14513971028826655</v>
      </c>
      <c r="F743" s="43">
        <f t="shared" si="47"/>
        <v>0.14052913077450355</v>
      </c>
    </row>
    <row r="744" spans="2:6" ht="14.4" x14ac:dyDescent="0.3">
      <c r="B744" s="36">
        <v>0.72</v>
      </c>
      <c r="C744" s="43">
        <f t="shared" si="44"/>
        <v>8877.899242404188</v>
      </c>
      <c r="D744" s="43">
        <f t="shared" si="45"/>
        <v>0.35340502085512415</v>
      </c>
      <c r="E744" s="43">
        <f t="shared" si="46"/>
        <v>0.14508257303176625</v>
      </c>
      <c r="F744" s="43">
        <f t="shared" si="47"/>
        <v>0.14047659930145587</v>
      </c>
    </row>
    <row r="745" spans="2:6" ht="14.4" x14ac:dyDescent="0.3">
      <c r="B745" s="36">
        <v>0.72099999999999997</v>
      </c>
      <c r="C745" s="43">
        <f t="shared" si="44"/>
        <v>8877.2957414332777</v>
      </c>
      <c r="D745" s="43">
        <f t="shared" si="45"/>
        <v>0.35331195825648065</v>
      </c>
      <c r="E745" s="43">
        <f t="shared" si="46"/>
        <v>0.14502533941414436</v>
      </c>
      <c r="F745" s="43">
        <f t="shared" si="47"/>
        <v>0.14042400981643874</v>
      </c>
    </row>
    <row r="746" spans="2:6" ht="14.4" x14ac:dyDescent="0.3">
      <c r="B746" s="36">
        <v>0.72199999999999998</v>
      </c>
      <c r="C746" s="43">
        <f t="shared" si="44"/>
        <v>8876.6914786273901</v>
      </c>
      <c r="D746" s="43">
        <f t="shared" si="45"/>
        <v>0.35321879390389044</v>
      </c>
      <c r="E746" s="43">
        <f t="shared" si="46"/>
        <v>0.14496800873853749</v>
      </c>
      <c r="F746" s="43">
        <f t="shared" si="47"/>
        <v>0.14037136182035237</v>
      </c>
    </row>
    <row r="747" spans="2:6" ht="14.4" x14ac:dyDescent="0.3">
      <c r="B747" s="36">
        <v>0.72299999999999998</v>
      </c>
      <c r="C747" s="43">
        <f t="shared" si="44"/>
        <v>8876.0864478081494</v>
      </c>
      <c r="D747" s="43">
        <f t="shared" si="45"/>
        <v>0.3531255269146728</v>
      </c>
      <c r="E747" s="43">
        <f t="shared" si="46"/>
        <v>0.1449105803016949</v>
      </c>
      <c r="F747" s="43">
        <f t="shared" si="47"/>
        <v>0.140318654809968</v>
      </c>
    </row>
    <row r="748" spans="2:6" ht="14.4" x14ac:dyDescent="0.3">
      <c r="B748" s="36">
        <v>0.72399999999999998</v>
      </c>
      <c r="C748" s="43">
        <f t="shared" si="44"/>
        <v>8875.4806427441254</v>
      </c>
      <c r="D748" s="43">
        <f t="shared" si="45"/>
        <v>0.35303215639883678</v>
      </c>
      <c r="E748" s="43">
        <f t="shared" si="46"/>
        <v>0.14485305339389101</v>
      </c>
      <c r="F748" s="43">
        <f t="shared" si="47"/>
        <v>0.1402658882778707</v>
      </c>
    </row>
    <row r="749" spans="2:6" ht="14.4" x14ac:dyDescent="0.3">
      <c r="B749" s="36">
        <v>0.72499999999999998</v>
      </c>
      <c r="C749" s="43">
        <f t="shared" si="44"/>
        <v>8874.8740571501094</v>
      </c>
      <c r="D749" s="43">
        <f t="shared" si="45"/>
        <v>0.35293868145897966</v>
      </c>
      <c r="E749" s="43">
        <f t="shared" si="46"/>
        <v>0.1447954272988366</v>
      </c>
      <c r="F749" s="43">
        <f t="shared" si="47"/>
        <v>0.14021306171240147</v>
      </c>
    </row>
    <row r="750" spans="2:6" ht="14.4" x14ac:dyDescent="0.3">
      <c r="B750" s="36">
        <v>0.72599999999999998</v>
      </c>
      <c r="C750" s="43">
        <f t="shared" si="44"/>
        <v>8874.266684686354</v>
      </c>
      <c r="D750" s="43">
        <f t="shared" si="45"/>
        <v>0.35284510119018425</v>
      </c>
      <c r="E750" s="43">
        <f t="shared" si="46"/>
        <v>0.14473770129358848</v>
      </c>
      <c r="F750" s="43">
        <f t="shared" si="47"/>
        <v>0.14016017459759803</v>
      </c>
    </row>
    <row r="751" spans="2:6" ht="14.4" x14ac:dyDescent="0.3">
      <c r="B751" s="36">
        <v>0.72699999999999998</v>
      </c>
      <c r="C751" s="43">
        <f t="shared" si="44"/>
        <v>8873.6585189578363</v>
      </c>
      <c r="D751" s="43">
        <f t="shared" si="45"/>
        <v>0.35275141467991344</v>
      </c>
      <c r="E751" s="43">
        <f t="shared" si="46"/>
        <v>0.14467987464845761</v>
      </c>
      <c r="F751" s="43">
        <f t="shared" si="47"/>
        <v>0.14010722641313486</v>
      </c>
    </row>
    <row r="752" spans="2:6" ht="14.4" x14ac:dyDescent="0.3">
      <c r="B752" s="36">
        <v>0.72799999999999998</v>
      </c>
      <c r="C752" s="43">
        <f t="shared" si="44"/>
        <v>8873.0495535134687</v>
      </c>
      <c r="D752" s="43">
        <f t="shared" si="45"/>
        <v>0.3526576210079041</v>
      </c>
      <c r="E752" s="43">
        <f t="shared" si="46"/>
        <v>0.14462194662691563</v>
      </c>
      <c r="F752" s="43">
        <f t="shared" si="47"/>
        <v>0.14005421663426229</v>
      </c>
    </row>
    <row r="753" spans="2:6" ht="14.4" x14ac:dyDescent="0.3">
      <c r="B753" s="36">
        <v>0.72899999999999998</v>
      </c>
      <c r="C753" s="43">
        <f t="shared" si="44"/>
        <v>8872.4397818453308</v>
      </c>
      <c r="D753" s="43">
        <f t="shared" si="45"/>
        <v>0.35256371924605834</v>
      </c>
      <c r="E753" s="43">
        <f t="shared" si="46"/>
        <v>0.14456391648549982</v>
      </c>
      <c r="F753" s="43">
        <f t="shared" si="47"/>
        <v>0.14000114473174433</v>
      </c>
    </row>
    <row r="754" spans="2:6" ht="14.4" x14ac:dyDescent="0.3">
      <c r="B754" s="36">
        <v>0.73</v>
      </c>
      <c r="C754" s="43">
        <f t="shared" si="44"/>
        <v>8871.8291973878659</v>
      </c>
      <c r="D754" s="43">
        <f t="shared" si="45"/>
        <v>0.35246970845833353</v>
      </c>
      <c r="E754" s="43">
        <f t="shared" si="46"/>
        <v>0.14450578347371634</v>
      </c>
      <c r="F754" s="43">
        <f t="shared" si="47"/>
        <v>0.13994801017179573</v>
      </c>
    </row>
    <row r="755" spans="2:6" ht="14.4" x14ac:dyDescent="0.3">
      <c r="B755" s="36">
        <v>0.73099999999999998</v>
      </c>
      <c r="C755" s="43">
        <f t="shared" si="44"/>
        <v>8871.2177935170675</v>
      </c>
      <c r="D755" s="43">
        <f t="shared" si="45"/>
        <v>0.35237558770063016</v>
      </c>
      <c r="E755" s="43">
        <f t="shared" si="46"/>
        <v>0.1444475468339419</v>
      </c>
      <c r="F755" s="43">
        <f t="shared" si="47"/>
        <v>0.13989481241601787</v>
      </c>
    </row>
    <row r="756" spans="2:6" ht="14.4" x14ac:dyDescent="0.3">
      <c r="B756" s="36">
        <v>0.73199999999999998</v>
      </c>
      <c r="C756" s="43">
        <f t="shared" si="44"/>
        <v>8870.6055635496705</v>
      </c>
      <c r="D756" s="43">
        <f t="shared" si="45"/>
        <v>0.352281356020678</v>
      </c>
      <c r="E756" s="43">
        <f t="shared" si="46"/>
        <v>0.14438920580132367</v>
      </c>
      <c r="F756" s="43">
        <f t="shared" si="47"/>
        <v>0.13984155092133335</v>
      </c>
    </row>
    <row r="757" spans="2:6" ht="14.4" x14ac:dyDescent="0.3">
      <c r="B757" s="36">
        <v>0.73299999999999998</v>
      </c>
      <c r="C757" s="43">
        <f t="shared" si="44"/>
        <v>8869.9925007422971</v>
      </c>
      <c r="D757" s="43">
        <f t="shared" si="45"/>
        <v>0.35218701245792006</v>
      </c>
      <c r="E757" s="43">
        <f t="shared" si="46"/>
        <v>0.14433075960367747</v>
      </c>
      <c r="F757" s="43">
        <f t="shared" si="47"/>
        <v>0.13978822513991998</v>
      </c>
    </row>
    <row r="758" spans="2:6" ht="14.4" x14ac:dyDescent="0.3">
      <c r="B758" s="36">
        <v>0.73399999999999999</v>
      </c>
      <c r="C758" s="43">
        <f t="shared" si="44"/>
        <v>8869.3785982906174</v>
      </c>
      <c r="D758" s="43">
        <f t="shared" si="45"/>
        <v>0.35209255604339484</v>
      </c>
      <c r="E758" s="43">
        <f t="shared" si="46"/>
        <v>0.14427220746138408</v>
      </c>
      <c r="F758" s="43">
        <f t="shared" si="47"/>
        <v>0.13973483451914304</v>
      </c>
    </row>
    <row r="759" spans="2:6" ht="14.4" x14ac:dyDescent="0.3">
      <c r="B759" s="36">
        <v>0.73499999999999999</v>
      </c>
      <c r="C759" s="43">
        <f t="shared" si="44"/>
        <v>8868.7638493284758</v>
      </c>
      <c r="D759" s="43">
        <f t="shared" si="45"/>
        <v>0.3519979857996165</v>
      </c>
      <c r="E759" s="43">
        <f t="shared" si="46"/>
        <v>0.14421354858728391</v>
      </c>
      <c r="F759" s="43">
        <f t="shared" si="47"/>
        <v>0.13968137850148685</v>
      </c>
    </row>
    <row r="760" spans="2:6" ht="14.4" x14ac:dyDescent="0.3">
      <c r="B760" s="36">
        <v>0.73599999999999999</v>
      </c>
      <c r="C760" s="43">
        <f t="shared" si="44"/>
        <v>8868.1482469270086</v>
      </c>
      <c r="D760" s="43">
        <f t="shared" si="45"/>
        <v>0.35190330074045284</v>
      </c>
      <c r="E760" s="43">
        <f t="shared" si="46"/>
        <v>0.14415478218656957</v>
      </c>
      <c r="F760" s="43">
        <f t="shared" si="47"/>
        <v>0.13962785652448498</v>
      </c>
    </row>
    <row r="761" spans="2:6" ht="14.4" x14ac:dyDescent="0.3">
      <c r="B761" s="36">
        <v>0.73699999999999999</v>
      </c>
      <c r="C761" s="43">
        <f t="shared" si="44"/>
        <v>8867.531784093755</v>
      </c>
      <c r="D761" s="43">
        <f t="shared" si="45"/>
        <v>0.35180849987100132</v>
      </c>
      <c r="E761" s="43">
        <f t="shared" si="46"/>
        <v>0.14409590745667683</v>
      </c>
      <c r="F761" s="43">
        <f t="shared" si="47"/>
        <v>0.13957426802064918</v>
      </c>
    </row>
    <row r="762" spans="2:6" ht="14.4" x14ac:dyDescent="0.3">
      <c r="B762" s="36">
        <v>0.73799999999999999</v>
      </c>
      <c r="C762" s="43">
        <f t="shared" si="44"/>
        <v>8866.9144537717366</v>
      </c>
      <c r="D762" s="43">
        <f t="shared" si="45"/>
        <v>0.35171358218746301</v>
      </c>
      <c r="E762" s="43">
        <f t="shared" si="46"/>
        <v>0.14403692358717335</v>
      </c>
      <c r="F762" s="43">
        <f t="shared" si="47"/>
        <v>0.13952061241739724</v>
      </c>
    </row>
    <row r="763" spans="2:6" ht="14.4" x14ac:dyDescent="0.3">
      <c r="B763" s="36">
        <v>0.73899999999999999</v>
      </c>
      <c r="C763" s="43">
        <f t="shared" si="44"/>
        <v>8866.296248838531</v>
      </c>
      <c r="D763" s="43">
        <f t="shared" si="45"/>
        <v>0.35161854667701398</v>
      </c>
      <c r="E763" s="43">
        <f t="shared" si="46"/>
        <v>0.14397782975964551</v>
      </c>
      <c r="F763" s="43">
        <f t="shared" si="47"/>
        <v>0.13946688913697947</v>
      </c>
    </row>
    <row r="764" spans="2:6" ht="14.4" x14ac:dyDescent="0.3">
      <c r="B764" s="36">
        <v>0.74</v>
      </c>
      <c r="C764" s="43">
        <f t="shared" si="44"/>
        <v>8865.6771621053304</v>
      </c>
      <c r="D764" s="43">
        <f t="shared" si="45"/>
        <v>0.35152339231767482</v>
      </c>
      <c r="E764" s="43">
        <f t="shared" si="46"/>
        <v>0.14391862514758344</v>
      </c>
      <c r="F764" s="43">
        <f t="shared" si="47"/>
        <v>0.13941309759640394</v>
      </c>
    </row>
    <row r="765" spans="2:6" ht="14.4" x14ac:dyDescent="0.3">
      <c r="B765" s="36">
        <v>0.74099999999999999</v>
      </c>
      <c r="C765" s="43">
        <f t="shared" si="44"/>
        <v>8865.0571863159748</v>
      </c>
      <c r="D765" s="43">
        <f t="shared" si="45"/>
        <v>0.35142811807817775</v>
      </c>
      <c r="E765" s="43">
        <f t="shared" si="46"/>
        <v>0.14385930891626367</v>
      </c>
      <c r="F765" s="43">
        <f t="shared" si="47"/>
        <v>0.13935923720736043</v>
      </c>
    </row>
    <row r="766" spans="2:6" ht="14.4" x14ac:dyDescent="0.3">
      <c r="B766" s="36">
        <v>0.74199999999999999</v>
      </c>
      <c r="C766" s="43">
        <f t="shared" si="44"/>
        <v>8864.4363141459726</v>
      </c>
      <c r="D766" s="43">
        <f t="shared" si="45"/>
        <v>0.35133272291783135</v>
      </c>
      <c r="E766" s="43">
        <f t="shared" si="46"/>
        <v>0.14379988022262968</v>
      </c>
      <c r="F766" s="43">
        <f t="shared" si="47"/>
        <v>0.13930530737614297</v>
      </c>
    </row>
    <row r="767" spans="2:6" ht="14.4" x14ac:dyDescent="0.3">
      <c r="B767" s="36">
        <v>0.74299999999999999</v>
      </c>
      <c r="C767" s="43">
        <f t="shared" si="44"/>
        <v>8863.8145382015118</v>
      </c>
      <c r="D767" s="43">
        <f t="shared" si="45"/>
        <v>0.3512372057863829</v>
      </c>
      <c r="E767" s="43">
        <f t="shared" si="46"/>
        <v>0.14374033821517068</v>
      </c>
      <c r="F767" s="43">
        <f t="shared" si="47"/>
        <v>0.13925130750357115</v>
      </c>
    </row>
    <row r="768" spans="2:6" ht="14.4" x14ac:dyDescent="0.3">
      <c r="B768" s="36">
        <v>0.74399999999999999</v>
      </c>
      <c r="C768" s="43">
        <f t="shared" si="44"/>
        <v>8863.1918510184387</v>
      </c>
      <c r="D768" s="43">
        <f t="shared" si="45"/>
        <v>0.35114156562387833</v>
      </c>
      <c r="E768" s="43">
        <f t="shared" si="46"/>
        <v>0.14368068203379747</v>
      </c>
      <c r="F768" s="43">
        <f t="shared" si="47"/>
        <v>0.13919723698490982</v>
      </c>
    </row>
    <row r="769" spans="2:6" ht="14.4" x14ac:dyDescent="0.3">
      <c r="B769" s="36">
        <v>0.745</v>
      </c>
      <c r="C769" s="43">
        <f t="shared" si="44"/>
        <v>8862.5682450612276</v>
      </c>
      <c r="D769" s="43">
        <f t="shared" si="45"/>
        <v>0.35104580136051966</v>
      </c>
      <c r="E769" s="43">
        <f t="shared" si="46"/>
        <v>0.14362091080971684</v>
      </c>
      <c r="F769" s="43">
        <f t="shared" si="47"/>
        <v>0.13914309520978752</v>
      </c>
    </row>
    <row r="770" spans="2:6" ht="14.4" x14ac:dyDescent="0.3">
      <c r="B770" s="36">
        <v>0.746</v>
      </c>
      <c r="C770" s="43">
        <f t="shared" si="44"/>
        <v>8861.9437127219298</v>
      </c>
      <c r="D770" s="43">
        <f t="shared" si="45"/>
        <v>0.3509499119165197</v>
      </c>
      <c r="E770" s="43">
        <f t="shared" si="46"/>
        <v>0.14356102366530296</v>
      </c>
      <c r="F770" s="43">
        <f t="shared" si="47"/>
        <v>0.13908888156211341</v>
      </c>
    </row>
    <row r="771" spans="2:6" ht="14.4" x14ac:dyDescent="0.3">
      <c r="B771" s="36">
        <v>0.747</v>
      </c>
      <c r="C771" s="43">
        <f t="shared" si="44"/>
        <v>8861.318246319106</v>
      </c>
      <c r="D771" s="43">
        <f t="shared" si="45"/>
        <v>0.35085389620195462</v>
      </c>
      <c r="E771" s="43">
        <f t="shared" si="46"/>
        <v>0.14350101971396689</v>
      </c>
      <c r="F771" s="43">
        <f t="shared" si="47"/>
        <v>0.13903459541999263</v>
      </c>
    </row>
    <row r="772" spans="2:6" ht="14.4" x14ac:dyDescent="0.3">
      <c r="B772" s="36">
        <v>0.748</v>
      </c>
      <c r="C772" s="43">
        <f t="shared" si="44"/>
        <v>8860.6918380967309</v>
      </c>
      <c r="D772" s="43">
        <f t="shared" si="45"/>
        <v>0.35075775311661317</v>
      </c>
      <c r="E772" s="43">
        <f t="shared" si="46"/>
        <v>0.14344089806002339</v>
      </c>
      <c r="F772" s="43">
        <f t="shared" si="47"/>
        <v>0.13898023615564031</v>
      </c>
    </row>
    <row r="773" spans="2:6" ht="14.4" x14ac:dyDescent="0.3">
      <c r="B773" s="36">
        <v>0.749</v>
      </c>
      <c r="C773" s="43">
        <f t="shared" si="44"/>
        <v>8860.0644802230909</v>
      </c>
      <c r="D773" s="43">
        <f t="shared" si="45"/>
        <v>0.35066148154984372</v>
      </c>
      <c r="E773" s="43">
        <f t="shared" si="46"/>
        <v>0.14338065779855536</v>
      </c>
      <c r="F773" s="43">
        <f t="shared" si="47"/>
        <v>0.13892580313529371</v>
      </c>
    </row>
    <row r="774" spans="2:6" ht="14.4" x14ac:dyDescent="0.3">
      <c r="B774" s="36">
        <v>0.75</v>
      </c>
      <c r="C774" s="43">
        <f t="shared" si="44"/>
        <v>8859.4361647896476</v>
      </c>
      <c r="D774" s="43">
        <f t="shared" si="45"/>
        <v>0.35056508038039846</v>
      </c>
      <c r="E774" s="43">
        <f t="shared" si="46"/>
        <v>0.14332029801527568</v>
      </c>
      <c r="F774" s="43">
        <f t="shared" si="47"/>
        <v>0.13887129571912318</v>
      </c>
    </row>
    <row r="775" spans="2:6" ht="14.4" x14ac:dyDescent="0.3">
      <c r="B775" s="36">
        <v>0.751</v>
      </c>
      <c r="C775" s="43">
        <f t="shared" si="44"/>
        <v>8858.8068838098916</v>
      </c>
      <c r="D775" s="43">
        <f t="shared" si="45"/>
        <v>0.35046854847627423</v>
      </c>
      <c r="E775" s="43">
        <f t="shared" si="46"/>
        <v>0.14325981778638675</v>
      </c>
      <c r="F775" s="43">
        <f t="shared" si="47"/>
        <v>0.13881671326114103</v>
      </c>
    </row>
    <row r="776" spans="2:6" ht="14.4" x14ac:dyDescent="0.3">
      <c r="B776" s="36">
        <v>0.752</v>
      </c>
      <c r="C776" s="43">
        <f t="shared" si="44"/>
        <v>8858.1766292181692</v>
      </c>
      <c r="D776" s="43">
        <f t="shared" si="45"/>
        <v>0.35037188469455116</v>
      </c>
      <c r="E776" s="43">
        <f t="shared" si="46"/>
        <v>0.14319921617843676</v>
      </c>
      <c r="F776" s="43">
        <f t="shared" si="47"/>
        <v>0.13876205510910908</v>
      </c>
    </row>
    <row r="777" spans="2:6" ht="14.4" x14ac:dyDescent="0.3">
      <c r="B777" s="36">
        <v>0.753</v>
      </c>
      <c r="C777" s="43">
        <f t="shared" si="44"/>
        <v>8857.5453928684874</v>
      </c>
      <c r="D777" s="43">
        <f t="shared" si="45"/>
        <v>0.35027508788122785</v>
      </c>
      <c r="E777" s="43">
        <f t="shared" si="46"/>
        <v>0.14313849224817393</v>
      </c>
      <c r="F777" s="43">
        <f t="shared" si="47"/>
        <v>0.13870732060444432</v>
      </c>
    </row>
    <row r="778" spans="2:6" ht="14.4" x14ac:dyDescent="0.3">
      <c r="B778" s="36">
        <v>0.754</v>
      </c>
      <c r="C778" s="43">
        <f t="shared" si="44"/>
        <v>8856.913166533297</v>
      </c>
      <c r="D778" s="43">
        <f t="shared" si="45"/>
        <v>0.35017815687105341</v>
      </c>
      <c r="E778" s="43">
        <f t="shared" si="46"/>
        <v>0.14307764504239767</v>
      </c>
      <c r="F778" s="43">
        <f t="shared" si="47"/>
        <v>0.1386525090821229</v>
      </c>
    </row>
    <row r="779" spans="2:6" ht="14.4" x14ac:dyDescent="0.3">
      <c r="B779" s="36">
        <v>0.755</v>
      </c>
      <c r="C779" s="43">
        <f t="shared" si="44"/>
        <v>8856.2799419022595</v>
      </c>
      <c r="D779" s="43">
        <f t="shared" si="45"/>
        <v>0.35008109048735703</v>
      </c>
      <c r="E779" s="43">
        <f t="shared" si="46"/>
        <v>0.14301667359780668</v>
      </c>
      <c r="F779" s="43">
        <f t="shared" si="47"/>
        <v>0.13859761987058222</v>
      </c>
    </row>
    <row r="780" spans="2:6" ht="14.4" x14ac:dyDescent="0.3">
      <c r="B780" s="36">
        <v>0.75600000000000001</v>
      </c>
      <c r="C780" s="43">
        <f t="shared" si="44"/>
        <v>8855.645710580975</v>
      </c>
      <c r="D780" s="43">
        <f t="shared" si="45"/>
        <v>0.34998388754187343</v>
      </c>
      <c r="E780" s="43">
        <f t="shared" si="46"/>
        <v>0.1429555769408446</v>
      </c>
      <c r="F780" s="43">
        <f t="shared" si="47"/>
        <v>0.13854265229162138</v>
      </c>
    </row>
    <row r="781" spans="2:6" ht="14.4" x14ac:dyDescent="0.3">
      <c r="B781" s="36">
        <v>0.75700000000000001</v>
      </c>
      <c r="C781" s="43">
        <f t="shared" si="44"/>
        <v>8855.0104640897043</v>
      </c>
      <c r="D781" s="43">
        <f t="shared" si="45"/>
        <v>0.34988654683456594</v>
      </c>
      <c r="E781" s="43">
        <f t="shared" si="46"/>
        <v>0.14289435408754242</v>
      </c>
      <c r="F781" s="43">
        <f t="shared" si="47"/>
        <v>0.13848760566029952</v>
      </c>
    </row>
    <row r="782" spans="2:6" ht="14.4" x14ac:dyDescent="0.3">
      <c r="B782" s="36">
        <v>0.75800000000000001</v>
      </c>
      <c r="C782" s="43">
        <f t="shared" si="44"/>
        <v>8854.3741938620533</v>
      </c>
      <c r="D782" s="43">
        <f t="shared" si="45"/>
        <v>0.34978906715344543</v>
      </c>
      <c r="E782" s="43">
        <f t="shared" si="46"/>
        <v>0.14283300404335786</v>
      </c>
      <c r="F782" s="43">
        <f t="shared" si="47"/>
        <v>0.13843247928483249</v>
      </c>
    </row>
    <row r="783" spans="2:6" ht="14.4" x14ac:dyDescent="0.3">
      <c r="B783" s="36">
        <v>0.75900000000000001</v>
      </c>
      <c r="C783" s="43">
        <f t="shared" si="44"/>
        <v>8853.7368912436432</v>
      </c>
      <c r="D783" s="43">
        <f t="shared" si="45"/>
        <v>0.34969144727438645</v>
      </c>
      <c r="E783" s="43">
        <f t="shared" si="46"/>
        <v>0.14277152580301167</v>
      </c>
      <c r="F783" s="43">
        <f t="shared" si="47"/>
        <v>0.13837727246648729</v>
      </c>
    </row>
    <row r="784" spans="2:6" ht="14.4" x14ac:dyDescent="0.3">
      <c r="B784" s="36">
        <v>0.76</v>
      </c>
      <c r="C784" s="43">
        <f t="shared" si="44"/>
        <v>8853.0985474907393</v>
      </c>
      <c r="D784" s="43">
        <f t="shared" si="45"/>
        <v>0.34959368596093965</v>
      </c>
      <c r="E784" s="43">
        <f t="shared" si="46"/>
        <v>0.14270991835032076</v>
      </c>
      <c r="F784" s="43">
        <f t="shared" si="47"/>
        <v>0.13832198449947478</v>
      </c>
    </row>
    <row r="785" spans="2:6" ht="14.4" x14ac:dyDescent="0.3">
      <c r="B785" s="36">
        <v>0.76100000000000001</v>
      </c>
      <c r="C785" s="43">
        <f t="shared" si="44"/>
        <v>8852.4591537688721</v>
      </c>
      <c r="D785" s="43">
        <f t="shared" si="45"/>
        <v>0.34949578196414022</v>
      </c>
      <c r="E785" s="43">
        <f t="shared" si="46"/>
        <v>0.14264818065802809</v>
      </c>
      <c r="F785" s="43">
        <f t="shared" si="47"/>
        <v>0.13826661467084012</v>
      </c>
    </row>
    <row r="786" spans="2:6" ht="14.4" x14ac:dyDescent="0.3">
      <c r="B786" s="36">
        <v>0.76200000000000001</v>
      </c>
      <c r="C786" s="43">
        <f t="shared" si="44"/>
        <v>8851.8187011514201</v>
      </c>
      <c r="D786" s="43">
        <f t="shared" si="45"/>
        <v>0.3493977340223135</v>
      </c>
      <c r="E786" s="43">
        <f t="shared" si="46"/>
        <v>0.14258631168762903</v>
      </c>
      <c r="F786" s="43">
        <f t="shared" si="47"/>
        <v>0.13821116226035113</v>
      </c>
    </row>
    <row r="787" spans="2:6" ht="14.4" x14ac:dyDescent="0.3">
      <c r="B787" s="36">
        <v>0.76300000000000001</v>
      </c>
      <c r="C787" s="43">
        <f t="shared" si="44"/>
        <v>8851.1771806181678</v>
      </c>
      <c r="D787" s="43">
        <f t="shared" si="45"/>
        <v>0.34929954086087595</v>
      </c>
      <c r="E787" s="43">
        <f t="shared" si="46"/>
        <v>0.14252431038919472</v>
      </c>
      <c r="F787" s="43">
        <f t="shared" si="47"/>
        <v>0.13815562654038474</v>
      </c>
    </row>
    <row r="788" spans="2:6" ht="14.4" x14ac:dyDescent="0.3">
      <c r="B788" s="36">
        <v>0.76400000000000001</v>
      </c>
      <c r="C788" s="43">
        <f t="shared" si="44"/>
        <v>8850.5345830538336</v>
      </c>
      <c r="D788" s="43">
        <f t="shared" si="45"/>
        <v>0.34920120119213294</v>
      </c>
      <c r="E788" s="43">
        <f t="shared" si="46"/>
        <v>0.14246217570119135</v>
      </c>
      <c r="F788" s="43">
        <f t="shared" si="47"/>
        <v>0.1381000067758108</v>
      </c>
    </row>
    <row r="789" spans="2:6" ht="14.4" x14ac:dyDescent="0.3">
      <c r="B789" s="36">
        <v>0.76500000000000001</v>
      </c>
      <c r="C789" s="43">
        <f t="shared" si="44"/>
        <v>8849.8908992465786</v>
      </c>
      <c r="D789" s="43">
        <f t="shared" si="45"/>
        <v>0.34910271371507218</v>
      </c>
      <c r="E789" s="43">
        <f t="shared" si="46"/>
        <v>0.14239990655029633</v>
      </c>
      <c r="F789" s="43">
        <f t="shared" si="47"/>
        <v>0.13804430222387409</v>
      </c>
    </row>
    <row r="790" spans="2:6" ht="14.4" x14ac:dyDescent="0.3">
      <c r="B790" s="36">
        <v>0.76600000000000001</v>
      </c>
      <c r="C790" s="43">
        <f t="shared" si="44"/>
        <v>8849.2461198864639</v>
      </c>
      <c r="D790" s="43">
        <f t="shared" si="45"/>
        <v>0.34900407711515324</v>
      </c>
      <c r="E790" s="43">
        <f t="shared" si="46"/>
        <v>0.14233750185121058</v>
      </c>
      <c r="F790" s="43">
        <f t="shared" si="47"/>
        <v>0.1379885121340737</v>
      </c>
    </row>
    <row r="791" spans="2:6" ht="14.4" x14ac:dyDescent="0.3">
      <c r="B791" s="36">
        <v>0.76700000000000002</v>
      </c>
      <c r="C791" s="43">
        <f t="shared" si="44"/>
        <v>8848.6002355639084</v>
      </c>
      <c r="D791" s="43">
        <f t="shared" si="45"/>
        <v>0.34890529006409315</v>
      </c>
      <c r="E791" s="43">
        <f t="shared" si="46"/>
        <v>0.1422749605064671</v>
      </c>
      <c r="F791" s="43">
        <f t="shared" si="47"/>
        <v>0.13793263574804016</v>
      </c>
    </row>
    <row r="792" spans="2:6" ht="14.4" x14ac:dyDescent="0.3">
      <c r="B792" s="36">
        <v>0.76800000000000002</v>
      </c>
      <c r="C792" s="43">
        <f t="shared" si="44"/>
        <v>8847.9532367680895</v>
      </c>
      <c r="D792" s="43">
        <f t="shared" si="45"/>
        <v>0.34880635121964731</v>
      </c>
      <c r="E792" s="43">
        <f t="shared" si="46"/>
        <v>0.14221228140623557</v>
      </c>
      <c r="F792" s="43">
        <f t="shared" si="47"/>
        <v>0.13787667229941003</v>
      </c>
    </row>
    <row r="793" spans="2:6" ht="14.4" x14ac:dyDescent="0.3">
      <c r="B793" s="36">
        <v>0.76900000000000002</v>
      </c>
      <c r="C793" s="43">
        <f t="shared" ref="C793:C856" si="48">_xlfn.BETA.INV((1-B793),$C$7,$C$8)*($C$5-$C$3)+$C$3</f>
        <v>8847.3051138853225</v>
      </c>
      <c r="D793" s="43">
        <f t="shared" ref="D793:D856" si="49">_xlfn.BETA.INV((1-B793),$D$7,$D$8)*($D$5-$D$3)+$D$3</f>
        <v>0.3487072592253867</v>
      </c>
      <c r="E793" s="43">
        <f t="shared" ref="E793:E856" si="50">_xlfn.BETA.INV((1-B793),$E$7,$E$8)*($E$5-$E$3)+$E$3</f>
        <v>0.14214946342812318</v>
      </c>
      <c r="F793" s="43">
        <f t="shared" ref="F793:F856" si="51">_xlfn.BETA.INV((1-B793),$F$7,$F$8)*($F$5-$F$3)+$F$3</f>
        <v>0.13782062101369841</v>
      </c>
    </row>
    <row r="794" spans="2:6" ht="14.4" x14ac:dyDescent="0.3">
      <c r="B794" s="36">
        <v>0.77</v>
      </c>
      <c r="C794" s="43">
        <f t="shared" si="48"/>
        <v>8846.655857197411</v>
      </c>
      <c r="D794" s="43">
        <f t="shared" si="49"/>
        <v>0.34860801271046982</v>
      </c>
      <c r="E794" s="43">
        <f t="shared" si="50"/>
        <v>0.14208650543697129</v>
      </c>
      <c r="F794" s="43">
        <f t="shared" si="51"/>
        <v>0.13776448110816822</v>
      </c>
    </row>
    <row r="795" spans="2:6" ht="14.4" x14ac:dyDescent="0.3">
      <c r="B795" s="36">
        <v>0.77100000000000002</v>
      </c>
      <c r="C795" s="43">
        <f t="shared" si="48"/>
        <v>8846.0054568799551</v>
      </c>
      <c r="D795" s="43">
        <f t="shared" si="49"/>
        <v>0.34850861028941105</v>
      </c>
      <c r="E795" s="43">
        <f t="shared" si="50"/>
        <v>0.14202340628464794</v>
      </c>
      <c r="F795" s="43">
        <f t="shared" si="51"/>
        <v>0.13770825179169754</v>
      </c>
    </row>
    <row r="796" spans="2:6" ht="14.4" x14ac:dyDescent="0.3">
      <c r="B796" s="36">
        <v>0.77200000000000002</v>
      </c>
      <c r="C796" s="43">
        <f t="shared" si="48"/>
        <v>8845.3539030006323</v>
      </c>
      <c r="D796" s="43">
        <f t="shared" si="49"/>
        <v>0.3484090505618434</v>
      </c>
      <c r="E796" s="43">
        <f t="shared" si="50"/>
        <v>0.14196016480983617</v>
      </c>
      <c r="F796" s="43">
        <f t="shared" si="51"/>
        <v>0.13765193226464384</v>
      </c>
    </row>
    <row r="797" spans="2:6" ht="14.4" x14ac:dyDescent="0.3">
      <c r="B797" s="36">
        <v>0.77300000000000002</v>
      </c>
      <c r="C797" s="43">
        <f t="shared" si="48"/>
        <v>8844.7011855174478</v>
      </c>
      <c r="D797" s="43">
        <f t="shared" si="49"/>
        <v>0.34830933211227721</v>
      </c>
      <c r="E797" s="43">
        <f t="shared" si="50"/>
        <v>0.1418967798378179</v>
      </c>
      <c r="F797" s="43">
        <f t="shared" si="51"/>
        <v>0.1375955217187057</v>
      </c>
    </row>
    <row r="798" spans="2:6" ht="14.4" x14ac:dyDescent="0.3">
      <c r="B798" s="36">
        <v>0.77400000000000002</v>
      </c>
      <c r="C798" s="43">
        <f t="shared" si="48"/>
        <v>8844.0472942769266</v>
      </c>
      <c r="D798" s="43">
        <f t="shared" si="49"/>
        <v>0.34820945350985361</v>
      </c>
      <c r="E798" s="43">
        <f t="shared" si="50"/>
        <v>0.14183325018025345</v>
      </c>
      <c r="F798" s="43">
        <f t="shared" si="51"/>
        <v>0.13753901933678161</v>
      </c>
    </row>
    <row r="799" spans="2:6" ht="14.4" x14ac:dyDescent="0.3">
      <c r="B799" s="36">
        <v>0.77500000000000002</v>
      </c>
      <c r="C799" s="43">
        <f t="shared" si="48"/>
        <v>8843.392219012303</v>
      </c>
      <c r="D799" s="43">
        <f t="shared" si="49"/>
        <v>0.34810941330809303</v>
      </c>
      <c r="E799" s="43">
        <f t="shared" si="50"/>
        <v>0.14176957463495618</v>
      </c>
      <c r="F799" s="43">
        <f t="shared" si="51"/>
        <v>0.13748242429282592</v>
      </c>
    </row>
    <row r="800" spans="2:6" ht="14.4" x14ac:dyDescent="0.3">
      <c r="B800" s="36">
        <v>0.77600000000000002</v>
      </c>
      <c r="C800" s="43">
        <f t="shared" si="48"/>
        <v>8842.7359493416443</v>
      </c>
      <c r="D800" s="43">
        <f t="shared" si="49"/>
        <v>0.34800921004463847</v>
      </c>
      <c r="E800" s="43">
        <f t="shared" si="50"/>
        <v>0.14170575198566299</v>
      </c>
      <c r="F800" s="43">
        <f t="shared" si="51"/>
        <v>0.13742573575170194</v>
      </c>
    </row>
    <row r="801" spans="2:6" ht="14.4" x14ac:dyDescent="0.3">
      <c r="B801" s="36">
        <v>0.77700000000000002</v>
      </c>
      <c r="C801" s="43">
        <f t="shared" si="48"/>
        <v>8842.0784747659472</v>
      </c>
      <c r="D801" s="43">
        <f t="shared" si="49"/>
        <v>0.34790884224099367</v>
      </c>
      <c r="E801" s="43">
        <f t="shared" si="50"/>
        <v>0.14164178100179933</v>
      </c>
      <c r="F801" s="43">
        <f t="shared" si="51"/>
        <v>0.13736895286903184</v>
      </c>
    </row>
    <row r="802" spans="2:6" ht="14.4" x14ac:dyDescent="0.3">
      <c r="B802" s="36">
        <v>0.77800000000000002</v>
      </c>
      <c r="C802" s="43">
        <f t="shared" si="48"/>
        <v>8841.4197846671923</v>
      </c>
      <c r="D802" s="43">
        <f t="shared" si="49"/>
        <v>0.34780830840225585</v>
      </c>
      <c r="E802" s="43">
        <f t="shared" si="50"/>
        <v>0.14157766043823977</v>
      </c>
      <c r="F802" s="43">
        <f t="shared" si="51"/>
        <v>0.13731207479104354</v>
      </c>
    </row>
    <row r="803" spans="2:6" ht="14.4" x14ac:dyDescent="0.3">
      <c r="B803" s="36">
        <v>0.77900000000000003</v>
      </c>
      <c r="C803" s="43">
        <f t="shared" si="48"/>
        <v>8840.7598683063625</v>
      </c>
      <c r="D803" s="43">
        <f t="shared" si="49"/>
        <v>0.34770760701684278</v>
      </c>
      <c r="E803" s="43">
        <f t="shared" si="50"/>
        <v>0.14151338903506333</v>
      </c>
      <c r="F803" s="43">
        <f t="shared" si="51"/>
        <v>0.13725510065441454</v>
      </c>
    </row>
    <row r="804" spans="2:6" ht="14.4" x14ac:dyDescent="0.3">
      <c r="B804" s="36">
        <v>0.78</v>
      </c>
      <c r="C804" s="43">
        <f t="shared" si="48"/>
        <v>8840.0987148214153</v>
      </c>
      <c r="D804" s="43">
        <f t="shared" si="49"/>
        <v>0.34760673655621427</v>
      </c>
      <c r="E804" s="43">
        <f t="shared" si="50"/>
        <v>0.1414489655173034</v>
      </c>
      <c r="F804" s="43">
        <f t="shared" si="51"/>
        <v>0.13719802958611224</v>
      </c>
    </row>
    <row r="805" spans="2:6" ht="14.4" x14ac:dyDescent="0.3">
      <c r="B805" s="36">
        <v>0.78100000000000003</v>
      </c>
      <c r="C805" s="43">
        <f t="shared" si="48"/>
        <v>8839.4363132252129</v>
      </c>
      <c r="D805" s="43">
        <f t="shared" si="49"/>
        <v>0.34750569547458765</v>
      </c>
      <c r="E805" s="43">
        <f t="shared" si="50"/>
        <v>0.14138438859469271</v>
      </c>
      <c r="F805" s="43">
        <f t="shared" si="51"/>
        <v>0.13714086070323117</v>
      </c>
    </row>
    <row r="806" spans="2:6" ht="14.4" x14ac:dyDescent="0.3">
      <c r="B806" s="36">
        <v>0.78200000000000003</v>
      </c>
      <c r="C806" s="43">
        <f t="shared" si="48"/>
        <v>8838.7726524034078</v>
      </c>
      <c r="D806" s="43">
        <f t="shared" si="49"/>
        <v>0.34740448220864772</v>
      </c>
      <c r="E806" s="43">
        <f t="shared" si="50"/>
        <v>0.14131965696140261</v>
      </c>
      <c r="F806" s="43">
        <f t="shared" si="51"/>
        <v>0.13708359311282653</v>
      </c>
    </row>
    <row r="807" spans="2:6" ht="14.4" x14ac:dyDescent="0.3">
      <c r="B807" s="36">
        <v>0.78300000000000003</v>
      </c>
      <c r="C807" s="43">
        <f t="shared" si="48"/>
        <v>8838.1077211122829</v>
      </c>
      <c r="D807" s="43">
        <f t="shared" si="49"/>
        <v>0.34730309517724994</v>
      </c>
      <c r="E807" s="43">
        <f t="shared" si="50"/>
        <v>0.14125476929577657</v>
      </c>
      <c r="F807" s="43">
        <f t="shared" si="51"/>
        <v>0.13702622591174457</v>
      </c>
    </row>
    <row r="808" spans="2:6" ht="14.4" x14ac:dyDescent="0.3">
      <c r="B808" s="36">
        <v>0.78400000000000003</v>
      </c>
      <c r="C808" s="43">
        <f t="shared" si="48"/>
        <v>8837.4415079765586</v>
      </c>
      <c r="D808" s="43">
        <f t="shared" si="49"/>
        <v>0.34720153278111793</v>
      </c>
      <c r="E808" s="43">
        <f t="shared" si="50"/>
        <v>0.14118972426005827</v>
      </c>
      <c r="F808" s="43">
        <f t="shared" si="51"/>
        <v>0.13696875818644899</v>
      </c>
    </row>
    <row r="809" spans="2:6" ht="14.4" x14ac:dyDescent="0.3">
      <c r="B809" s="36">
        <v>0.78500000000000003</v>
      </c>
      <c r="C809" s="43">
        <f t="shared" si="48"/>
        <v>8836.7740014871233</v>
      </c>
      <c r="D809" s="43">
        <f t="shared" si="49"/>
        <v>0.34709979340253394</v>
      </c>
      <c r="E809" s="43">
        <f t="shared" si="50"/>
        <v>0.14112452050011345</v>
      </c>
      <c r="F809" s="43">
        <f t="shared" si="51"/>
        <v>0.13691118901284383</v>
      </c>
    </row>
    <row r="810" spans="2:6" ht="14.4" x14ac:dyDescent="0.3">
      <c r="B810" s="36">
        <v>0.78600000000000003</v>
      </c>
      <c r="C810" s="43">
        <f t="shared" si="48"/>
        <v>8836.1051899987488</v>
      </c>
      <c r="D810" s="43">
        <f t="shared" si="49"/>
        <v>0.34699787540502319</v>
      </c>
      <c r="E810" s="43">
        <f t="shared" si="50"/>
        <v>0.14105915664514593</v>
      </c>
      <c r="F810" s="43">
        <f t="shared" si="51"/>
        <v>0.13685351745609256</v>
      </c>
    </row>
    <row r="811" spans="2:6" ht="14.4" x14ac:dyDescent="0.3">
      <c r="B811" s="36">
        <v>0.78700000000000003</v>
      </c>
      <c r="C811" s="43">
        <f t="shared" si="48"/>
        <v>8835.4350617277305</v>
      </c>
      <c r="D811" s="43">
        <f t="shared" si="49"/>
        <v>0.34689577713303127</v>
      </c>
      <c r="E811" s="43">
        <f t="shared" si="50"/>
        <v>0.14099363130740716</v>
      </c>
      <c r="F811" s="43">
        <f t="shared" si="51"/>
        <v>0.13679574257043325</v>
      </c>
    </row>
    <row r="812" spans="2:6" ht="14.4" x14ac:dyDescent="0.3">
      <c r="B812" s="36">
        <v>0.78800000000000003</v>
      </c>
      <c r="C812" s="43">
        <f t="shared" si="48"/>
        <v>8834.7636047494925</v>
      </c>
      <c r="D812" s="43">
        <f t="shared" si="49"/>
        <v>0.34679349691159411</v>
      </c>
      <c r="E812" s="43">
        <f t="shared" si="50"/>
        <v>0.14092794308189943</v>
      </c>
      <c r="F812" s="43">
        <f t="shared" si="51"/>
        <v>0.13673786339898969</v>
      </c>
    </row>
    <row r="813" spans="2:6" ht="14.4" x14ac:dyDescent="0.3">
      <c r="B813" s="36">
        <v>0.78900000000000003</v>
      </c>
      <c r="C813" s="43">
        <f t="shared" si="48"/>
        <v>8834.0908069961315</v>
      </c>
      <c r="D813" s="43">
        <f t="shared" si="49"/>
        <v>0.34669103304600163</v>
      </c>
      <c r="E813" s="43">
        <f t="shared" si="50"/>
        <v>0.14086209054607271</v>
      </c>
      <c r="F813" s="43">
        <f t="shared" si="51"/>
        <v>0.13667987897357842</v>
      </c>
    </row>
    <row r="814" spans="2:6" ht="14.4" x14ac:dyDescent="0.3">
      <c r="B814" s="36">
        <v>0.79</v>
      </c>
      <c r="C814" s="43">
        <f t="shared" si="48"/>
        <v>8833.4166562539049</v>
      </c>
      <c r="D814" s="43">
        <f t="shared" si="49"/>
        <v>0.34658838382145318</v>
      </c>
      <c r="E814" s="43">
        <f t="shared" si="50"/>
        <v>0.14079607225951435</v>
      </c>
      <c r="F814" s="43">
        <f t="shared" si="51"/>
        <v>0.13662178831451166</v>
      </c>
    </row>
    <row r="815" spans="2:6" ht="14.4" x14ac:dyDescent="0.3">
      <c r="B815" s="36">
        <v>0.79100000000000004</v>
      </c>
      <c r="C815" s="43">
        <f t="shared" si="48"/>
        <v>8832.7411401606769</v>
      </c>
      <c r="D815" s="43">
        <f t="shared" si="49"/>
        <v>0.3464855475027061</v>
      </c>
      <c r="E815" s="43">
        <f t="shared" si="50"/>
        <v>0.14072988676363216</v>
      </c>
      <c r="F815" s="43">
        <f t="shared" si="51"/>
        <v>0.13656359043039573</v>
      </c>
    </row>
    <row r="816" spans="2:6" ht="14.4" x14ac:dyDescent="0.3">
      <c r="B816" s="36">
        <v>0.79200000000000004</v>
      </c>
      <c r="C816" s="43">
        <f t="shared" si="48"/>
        <v>8832.0642462032883</v>
      </c>
      <c r="D816" s="43">
        <f t="shared" si="49"/>
        <v>0.34638252233371586</v>
      </c>
      <c r="E816" s="43">
        <f t="shared" si="50"/>
        <v>0.14066353258133013</v>
      </c>
      <c r="F816" s="43">
        <f t="shared" si="51"/>
        <v>0.13650528431792508</v>
      </c>
    </row>
    <row r="817" spans="2:6" ht="14.4" x14ac:dyDescent="0.3">
      <c r="B817" s="36">
        <v>0.79300000000000004</v>
      </c>
      <c r="C817" s="43">
        <f t="shared" si="48"/>
        <v>8831.3859617148883</v>
      </c>
      <c r="D817" s="43">
        <f t="shared" si="49"/>
        <v>0.34627930653726896</v>
      </c>
      <c r="E817" s="43">
        <f t="shared" si="50"/>
        <v>0.14059700821667709</v>
      </c>
      <c r="F817" s="43">
        <f t="shared" si="51"/>
        <v>0.1364468689616718</v>
      </c>
    </row>
    <row r="818" spans="2:6" ht="14.4" x14ac:dyDescent="0.3">
      <c r="B818" s="36">
        <v>0.79400000000000004</v>
      </c>
      <c r="C818" s="43">
        <f t="shared" si="48"/>
        <v>8830.706273872187</v>
      </c>
      <c r="D818" s="43">
        <f t="shared" si="49"/>
        <v>0.3461758983146071</v>
      </c>
      <c r="E818" s="43">
        <f t="shared" si="50"/>
        <v>0.14053031215456738</v>
      </c>
      <c r="F818" s="43">
        <f t="shared" si="51"/>
        <v>0.1363883433338704</v>
      </c>
    </row>
    <row r="819" spans="2:6" ht="14.4" x14ac:dyDescent="0.3">
      <c r="B819" s="36">
        <v>0.79500000000000004</v>
      </c>
      <c r="C819" s="43">
        <f t="shared" si="48"/>
        <v>8830.0251696926607</v>
      </c>
      <c r="D819" s="43">
        <f t="shared" si="49"/>
        <v>0.34607229584504307</v>
      </c>
      <c r="E819" s="43">
        <f t="shared" si="50"/>
        <v>0.1404634428603744</v>
      </c>
      <c r="F819" s="43">
        <f t="shared" si="51"/>
        <v>0.13632970639419778</v>
      </c>
    </row>
    <row r="820" spans="2:6" ht="14.4" x14ac:dyDescent="0.3">
      <c r="B820" s="36">
        <v>0.79600000000000004</v>
      </c>
      <c r="C820" s="43">
        <f t="shared" si="48"/>
        <v>8829.3426360316826</v>
      </c>
      <c r="D820" s="43">
        <f t="shared" si="49"/>
        <v>0.34596849728556811</v>
      </c>
      <c r="E820" s="43">
        <f t="shared" si="50"/>
        <v>0.14039639877959553</v>
      </c>
      <c r="F820" s="43">
        <f t="shared" si="51"/>
        <v>0.13627095708954823</v>
      </c>
    </row>
    <row r="821" spans="2:6" ht="14.4" x14ac:dyDescent="0.3">
      <c r="B821" s="36">
        <v>0.79700000000000004</v>
      </c>
      <c r="C821" s="43">
        <f t="shared" si="48"/>
        <v>8828.6586595796034</v>
      </c>
      <c r="D821" s="43">
        <f t="shared" si="49"/>
        <v>0.34586450077045028</v>
      </c>
      <c r="E821" s="43">
        <f t="shared" si="50"/>
        <v>0.14032917833748948</v>
      </c>
      <c r="F821" s="43">
        <f t="shared" si="51"/>
        <v>0.1362120943538033</v>
      </c>
    </row>
    <row r="822" spans="2:6" ht="14.4" x14ac:dyDescent="0.3">
      <c r="B822" s="36">
        <v>0.79800000000000004</v>
      </c>
      <c r="C822" s="43">
        <f t="shared" si="48"/>
        <v>8827.973226858745</v>
      </c>
      <c r="D822" s="43">
        <f t="shared" si="49"/>
        <v>0.34576030441082373</v>
      </c>
      <c r="E822" s="43">
        <f t="shared" si="50"/>
        <v>0.14026177993870478</v>
      </c>
      <c r="F822" s="43">
        <f t="shared" si="51"/>
        <v>0.13615311710759659</v>
      </c>
    </row>
    <row r="823" spans="2:6" ht="14.4" x14ac:dyDescent="0.3">
      <c r="B823" s="36">
        <v>0.79900000000000004</v>
      </c>
      <c r="C823" s="43">
        <f t="shared" si="48"/>
        <v>8827.2863242203439</v>
      </c>
      <c r="D823" s="43">
        <f t="shared" si="49"/>
        <v>0.34565590629426868</v>
      </c>
      <c r="E823" s="43">
        <f t="shared" si="50"/>
        <v>0.14019420196689977</v>
      </c>
      <c r="F823" s="43">
        <f t="shared" si="51"/>
        <v>0.13609402425807285</v>
      </c>
    </row>
    <row r="824" spans="2:6" ht="14.4" x14ac:dyDescent="0.3">
      <c r="B824" s="36">
        <v>0.8</v>
      </c>
      <c r="C824" s="43">
        <f t="shared" si="48"/>
        <v>8826.5979378414104</v>
      </c>
      <c r="D824" s="43">
        <f t="shared" si="49"/>
        <v>0.34555130448438148</v>
      </c>
      <c r="E824" s="43">
        <f t="shared" si="50"/>
        <v>0.14012644278435385</v>
      </c>
      <c r="F824" s="43">
        <f t="shared" si="51"/>
        <v>0.13603481469864198</v>
      </c>
    </row>
    <row r="825" spans="2:6" ht="14.4" x14ac:dyDescent="0.3">
      <c r="B825" s="36">
        <v>0.80100000000000005</v>
      </c>
      <c r="C825" s="43">
        <f t="shared" si="48"/>
        <v>8825.9080537215232</v>
      </c>
      <c r="D825" s="43">
        <f t="shared" si="49"/>
        <v>0.34544649702033514</v>
      </c>
      <c r="E825" s="43">
        <f t="shared" si="50"/>
        <v>0.14005850073156934</v>
      </c>
      <c r="F825" s="43">
        <f t="shared" si="51"/>
        <v>0.13597548730872697</v>
      </c>
    </row>
    <row r="826" spans="2:6" ht="14.4" x14ac:dyDescent="0.3">
      <c r="B826" s="36">
        <v>0.80200000000000005</v>
      </c>
      <c r="C826" s="43">
        <f t="shared" si="48"/>
        <v>8825.2166576795462</v>
      </c>
      <c r="D826" s="43">
        <f t="shared" si="49"/>
        <v>0.34534148191642927</v>
      </c>
      <c r="E826" s="43">
        <f t="shared" si="50"/>
        <v>0.13999037412686405</v>
      </c>
      <c r="F826" s="43">
        <f t="shared" si="51"/>
        <v>0.13591604095350612</v>
      </c>
    </row>
    <row r="827" spans="2:6" ht="14.4" x14ac:dyDescent="0.3">
      <c r="B827" s="36">
        <v>0.80300000000000005</v>
      </c>
      <c r="C827" s="43">
        <f t="shared" si="48"/>
        <v>8824.5237353502635</v>
      </c>
      <c r="D827" s="43">
        <f t="shared" si="49"/>
        <v>0.34523625716162992</v>
      </c>
      <c r="E827" s="43">
        <f t="shared" si="50"/>
        <v>0.13992206126595413</v>
      </c>
      <c r="F827" s="43">
        <f t="shared" si="51"/>
        <v>0.13585647448364932</v>
      </c>
    </row>
    <row r="828" spans="2:6" ht="14.4" x14ac:dyDescent="0.3">
      <c r="B828" s="36">
        <v>0.80400000000000005</v>
      </c>
      <c r="C828" s="43">
        <f t="shared" si="48"/>
        <v>8823.8292721809466</v>
      </c>
      <c r="D828" s="43">
        <f t="shared" si="49"/>
        <v>0.34513082071909834</v>
      </c>
      <c r="E828" s="43">
        <f t="shared" si="50"/>
        <v>0.13985356042152702</v>
      </c>
      <c r="F828" s="43">
        <f t="shared" si="51"/>
        <v>0.13579678673504808</v>
      </c>
    </row>
    <row r="829" spans="2:6" ht="14.4" x14ac:dyDescent="0.3">
      <c r="B829" s="36">
        <v>0.80500000000000005</v>
      </c>
      <c r="C829" s="43">
        <f t="shared" si="48"/>
        <v>8823.1332534278336</v>
      </c>
      <c r="D829" s="43">
        <f t="shared" si="49"/>
        <v>0.34502517052570858</v>
      </c>
      <c r="E829" s="43">
        <f t="shared" si="50"/>
        <v>0.13978486984280405</v>
      </c>
      <c r="F829" s="43">
        <f t="shared" si="51"/>
        <v>0.13573697652853914</v>
      </c>
    </row>
    <row r="830" spans="2:6" ht="14.4" x14ac:dyDescent="0.3">
      <c r="B830" s="36">
        <v>0.80600000000000005</v>
      </c>
      <c r="C830" s="43">
        <f t="shared" si="48"/>
        <v>8822.4356641525155</v>
      </c>
      <c r="D830" s="43">
        <f t="shared" si="49"/>
        <v>0.34491930449155406</v>
      </c>
      <c r="E830" s="43">
        <f t="shared" si="50"/>
        <v>0.1397159877550925</v>
      </c>
      <c r="F830" s="43">
        <f t="shared" si="51"/>
        <v>0.13567704266962169</v>
      </c>
    </row>
    <row r="831" spans="2:6" ht="14.4" x14ac:dyDescent="0.3">
      <c r="B831" s="36">
        <v>0.80700000000000005</v>
      </c>
      <c r="C831" s="43">
        <f t="shared" si="48"/>
        <v>8821.7364892182559</v>
      </c>
      <c r="D831" s="43">
        <f t="shared" si="49"/>
        <v>0.34481322049944213</v>
      </c>
      <c r="E831" s="43">
        <f t="shared" si="50"/>
        <v>0.13964691235932686</v>
      </c>
      <c r="F831" s="43">
        <f t="shared" si="51"/>
        <v>0.1356169839481676</v>
      </c>
    </row>
    <row r="832" spans="2:6" ht="14.4" x14ac:dyDescent="0.3">
      <c r="B832" s="36">
        <v>0.80800000000000005</v>
      </c>
      <c r="C832" s="43">
        <f t="shared" si="48"/>
        <v>8821.0357132862027</v>
      </c>
      <c r="D832" s="43">
        <f t="shared" si="49"/>
        <v>0.34470691640437628</v>
      </c>
      <c r="E832" s="43">
        <f t="shared" si="50"/>
        <v>0.13957764183159888</v>
      </c>
      <c r="F832" s="43">
        <f t="shared" si="51"/>
        <v>0.13555679913812504</v>
      </c>
    </row>
    <row r="833" spans="2:6" ht="14.4" x14ac:dyDescent="0.3">
      <c r="B833" s="36">
        <v>0.80900000000000005</v>
      </c>
      <c r="C833" s="43">
        <f t="shared" si="48"/>
        <v>8820.3333208115218</v>
      </c>
      <c r="D833" s="43">
        <f t="shared" si="49"/>
        <v>0.34460039003302656</v>
      </c>
      <c r="E833" s="43">
        <f t="shared" si="50"/>
        <v>0.13950817432267601</v>
      </c>
      <c r="F833" s="43">
        <f t="shared" si="51"/>
        <v>0.13549648699721464</v>
      </c>
    </row>
    <row r="834" spans="2:6" ht="14.4" x14ac:dyDescent="0.3">
      <c r="B834" s="36">
        <v>0.81</v>
      </c>
      <c r="C834" s="43">
        <f t="shared" si="48"/>
        <v>8819.6292960394276</v>
      </c>
      <c r="D834" s="43">
        <f t="shared" si="49"/>
        <v>0.3444936391831866</v>
      </c>
      <c r="E834" s="43">
        <f t="shared" si="50"/>
        <v>0.13943850795750809</v>
      </c>
      <c r="F834" s="43">
        <f t="shared" si="51"/>
        <v>0.13543604626661851</v>
      </c>
    </row>
    <row r="835" spans="2:6" ht="14.4" x14ac:dyDescent="0.3">
      <c r="B835" s="36">
        <v>0.81100000000000005</v>
      </c>
      <c r="C835" s="43">
        <f t="shared" si="48"/>
        <v>8818.9236230011229</v>
      </c>
      <c r="D835" s="43">
        <f t="shared" si="49"/>
        <v>0.34438666162321746</v>
      </c>
      <c r="E835" s="43">
        <f t="shared" si="50"/>
        <v>0.13936864083472172</v>
      </c>
      <c r="F835" s="43">
        <f t="shared" si="51"/>
        <v>0.13537547567066166</v>
      </c>
    </row>
    <row r="836" spans="2:6" ht="14.4" x14ac:dyDescent="0.3">
      <c r="B836" s="36">
        <v>0.81200000000000006</v>
      </c>
      <c r="C836" s="43">
        <f t="shared" si="48"/>
        <v>8818.2162855096376</v>
      </c>
      <c r="D836" s="43">
        <f t="shared" si="49"/>
        <v>0.34427945509147861</v>
      </c>
      <c r="E836" s="43">
        <f t="shared" si="50"/>
        <v>0.13929857102610216</v>
      </c>
      <c r="F836" s="43">
        <f t="shared" si="51"/>
        <v>0.1353147739164855</v>
      </c>
    </row>
    <row r="837" spans="2:6" ht="14.4" x14ac:dyDescent="0.3">
      <c r="B837" s="36">
        <v>0.81299999999999994</v>
      </c>
      <c r="C837" s="43">
        <f t="shared" si="48"/>
        <v>8817.5072671555572</v>
      </c>
      <c r="D837" s="43">
        <f t="shared" si="49"/>
        <v>0.3441720172957437</v>
      </c>
      <c r="E837" s="43">
        <f t="shared" si="50"/>
        <v>0.13922829657606206</v>
      </c>
      <c r="F837" s="43">
        <f t="shared" si="51"/>
        <v>0.13525393969371352</v>
      </c>
    </row>
    <row r="838" spans="2:6" ht="14.4" x14ac:dyDescent="0.3">
      <c r="B838" s="36">
        <v>0.81399999999999995</v>
      </c>
      <c r="C838" s="43">
        <f t="shared" si="48"/>
        <v>8816.7965513026556</v>
      </c>
      <c r="D838" s="43">
        <f t="shared" si="49"/>
        <v>0.34406434591260304</v>
      </c>
      <c r="E838" s="43">
        <f t="shared" si="50"/>
        <v>0.13915781550109699</v>
      </c>
      <c r="F838" s="43">
        <f t="shared" si="51"/>
        <v>0.13519297167410854</v>
      </c>
    </row>
    <row r="839" spans="2:6" ht="14.4" x14ac:dyDescent="0.3">
      <c r="B839" s="36">
        <v>0.81499999999999995</v>
      </c>
      <c r="C839" s="43">
        <f t="shared" si="48"/>
        <v>8816.0841210834169</v>
      </c>
      <c r="D839" s="43">
        <f t="shared" si="49"/>
        <v>0.34395643858685065</v>
      </c>
      <c r="E839" s="43">
        <f t="shared" si="50"/>
        <v>0.13908712578922716</v>
      </c>
      <c r="F839" s="43">
        <f t="shared" si="51"/>
        <v>0.13513186851122139</v>
      </c>
    </row>
    <row r="840" spans="2:6" ht="14.4" x14ac:dyDescent="0.3">
      <c r="B840" s="36">
        <v>0.81599999999999995</v>
      </c>
      <c r="C840" s="43">
        <f t="shared" si="48"/>
        <v>8815.3699593944366</v>
      </c>
      <c r="D840" s="43">
        <f t="shared" si="49"/>
        <v>0.34384829293085595</v>
      </c>
      <c r="E840" s="43">
        <f t="shared" si="50"/>
        <v>0.13901622539942488</v>
      </c>
      <c r="F840" s="43">
        <f t="shared" si="51"/>
        <v>0.13507062884003113</v>
      </c>
    </row>
    <row r="841" spans="2:6" ht="14.4" x14ac:dyDescent="0.3">
      <c r="B841" s="36">
        <v>0.81699999999999995</v>
      </c>
      <c r="C841" s="43">
        <f t="shared" si="48"/>
        <v>8814.6540488917108</v>
      </c>
      <c r="D841" s="43">
        <f t="shared" si="49"/>
        <v>0.34373990652392028</v>
      </c>
      <c r="E841" s="43">
        <f t="shared" si="50"/>
        <v>0.13894511226102724</v>
      </c>
      <c r="F841" s="43">
        <f t="shared" si="51"/>
        <v>0.13500925127657581</v>
      </c>
    </row>
    <row r="842" spans="2:6" ht="14.4" x14ac:dyDescent="0.3">
      <c r="B842" s="36">
        <v>0.81799999999999995</v>
      </c>
      <c r="C842" s="43">
        <f t="shared" si="48"/>
        <v>8813.9363719858175</v>
      </c>
      <c r="D842" s="43">
        <f t="shared" si="49"/>
        <v>0.34363127691161605</v>
      </c>
      <c r="E842" s="43">
        <f t="shared" si="50"/>
        <v>0.13887378427313407</v>
      </c>
      <c r="F842" s="43">
        <f t="shared" si="51"/>
        <v>0.13494773441757416</v>
      </c>
    </row>
    <row r="843" spans="2:6" ht="14.4" x14ac:dyDescent="0.3">
      <c r="B843" s="36">
        <v>0.81899999999999995</v>
      </c>
      <c r="C843" s="43">
        <f t="shared" si="48"/>
        <v>8813.2169108369508</v>
      </c>
      <c r="D843" s="43">
        <f t="shared" si="49"/>
        <v>0.34352240160511038</v>
      </c>
      <c r="E843" s="43">
        <f t="shared" si="50"/>
        <v>0.13880223930398988</v>
      </c>
      <c r="F843" s="43">
        <f t="shared" si="51"/>
        <v>0.13488607684003764</v>
      </c>
    </row>
    <row r="844" spans="2:6" ht="14.4" x14ac:dyDescent="0.3">
      <c r="B844" s="36">
        <v>0.82</v>
      </c>
      <c r="C844" s="43">
        <f t="shared" si="48"/>
        <v>8812.4956473498514</v>
      </c>
      <c r="D844" s="43">
        <f t="shared" si="49"/>
        <v>0.34341327808047067</v>
      </c>
      <c r="E844" s="43">
        <f t="shared" si="50"/>
        <v>0.13873047519035001</v>
      </c>
      <c r="F844" s="43">
        <f t="shared" si="51"/>
        <v>0.1348242771008725</v>
      </c>
    </row>
    <row r="845" spans="2:6" ht="14.4" x14ac:dyDescent="0.3">
      <c r="B845" s="36">
        <v>0.82099999999999995</v>
      </c>
      <c r="C845" s="43">
        <f t="shared" si="48"/>
        <v>8811.772563168588</v>
      </c>
      <c r="D845" s="43">
        <f t="shared" si="49"/>
        <v>0.3433039037779525</v>
      </c>
      <c r="E845" s="43">
        <f t="shared" si="50"/>
        <v>0.13865848973683004</v>
      </c>
      <c r="F845" s="43">
        <f t="shared" si="51"/>
        <v>0.13476233373647156</v>
      </c>
    </row>
    <row r="846" spans="2:6" ht="14.4" x14ac:dyDescent="0.3">
      <c r="B846" s="36">
        <v>0.82199999999999995</v>
      </c>
      <c r="C846" s="43">
        <f t="shared" si="48"/>
        <v>8811.0476396712202</v>
      </c>
      <c r="D846" s="43">
        <f t="shared" si="49"/>
        <v>0.34319427610126912</v>
      </c>
      <c r="E846" s="43">
        <f t="shared" si="50"/>
        <v>0.13858628071523812</v>
      </c>
      <c r="F846" s="43">
        <f t="shared" si="51"/>
        <v>0.13470024526229579</v>
      </c>
    </row>
    <row r="847" spans="2:6" ht="14.4" x14ac:dyDescent="0.3">
      <c r="B847" s="36">
        <v>0.82299999999999995</v>
      </c>
      <c r="C847" s="43">
        <f t="shared" si="48"/>
        <v>8810.3208579642996</v>
      </c>
      <c r="D847" s="43">
        <f t="shared" si="49"/>
        <v>0.34308439241684224</v>
      </c>
      <c r="E847" s="43">
        <f t="shared" si="50"/>
        <v>0.13851384586388979</v>
      </c>
      <c r="F847" s="43">
        <f t="shared" si="51"/>
        <v>0.13463801017244442</v>
      </c>
    </row>
    <row r="848" spans="2:6" ht="14.4" x14ac:dyDescent="0.3">
      <c r="B848" s="36">
        <v>0.82399999999999995</v>
      </c>
      <c r="C848" s="43">
        <f t="shared" si="48"/>
        <v>8809.5921988772534</v>
      </c>
      <c r="D848" s="43">
        <f t="shared" si="49"/>
        <v>0.34297425005303278</v>
      </c>
      <c r="E848" s="43">
        <f t="shared" si="50"/>
        <v>0.13844118288690427</v>
      </c>
      <c r="F848" s="43">
        <f t="shared" si="51"/>
        <v>0.1345756269392144</v>
      </c>
    </row>
    <row r="849" spans="2:6" ht="14.4" x14ac:dyDescent="0.3">
      <c r="B849" s="36">
        <v>0.82499999999999996</v>
      </c>
      <c r="C849" s="43">
        <f t="shared" si="48"/>
        <v>8808.8616429565955</v>
      </c>
      <c r="D849" s="43">
        <f t="shared" si="49"/>
        <v>0.34286384629935196</v>
      </c>
      <c r="E849" s="43">
        <f t="shared" si="50"/>
        <v>0.1383682894534822</v>
      </c>
      <c r="F849" s="43">
        <f t="shared" si="51"/>
        <v>0.13451309401264794</v>
      </c>
    </row>
    <row r="850" spans="2:6" ht="14.4" x14ac:dyDescent="0.3">
      <c r="B850" s="36">
        <v>0.82599999999999996</v>
      </c>
      <c r="C850" s="43">
        <f t="shared" si="48"/>
        <v>8808.1291704599989</v>
      </c>
      <c r="D850" s="43">
        <f t="shared" si="49"/>
        <v>0.34275317840565095</v>
      </c>
      <c r="E850" s="43">
        <f t="shared" si="50"/>
        <v>0.1382951631971637</v>
      </c>
      <c r="F850" s="43">
        <f t="shared" si="51"/>
        <v>0.13445040982006817</v>
      </c>
    </row>
    <row r="851" spans="2:6" ht="14.4" x14ac:dyDescent="0.3">
      <c r="B851" s="36">
        <v>0.82699999999999996</v>
      </c>
      <c r="C851" s="43">
        <f t="shared" si="48"/>
        <v>8807.3947613502023</v>
      </c>
      <c r="D851" s="43">
        <f t="shared" si="49"/>
        <v>0.34264224358128953</v>
      </c>
      <c r="E851" s="43">
        <f t="shared" si="50"/>
        <v>0.13822180171506654</v>
      </c>
      <c r="F851" s="43">
        <f t="shared" si="51"/>
        <v>0.13438757276560248</v>
      </c>
    </row>
    <row r="852" spans="2:6" ht="14.4" x14ac:dyDescent="0.3">
      <c r="B852" s="36">
        <v>0.82799999999999996</v>
      </c>
      <c r="C852" s="43">
        <f t="shared" si="48"/>
        <v>8806.6583952887559</v>
      </c>
      <c r="D852" s="43">
        <f t="shared" si="49"/>
        <v>0.34253103899428217</v>
      </c>
      <c r="E852" s="43">
        <f t="shared" si="50"/>
        <v>0.13814820256710356</v>
      </c>
      <c r="F852" s="43">
        <f t="shared" si="51"/>
        <v>0.13432458122969299</v>
      </c>
    </row>
    <row r="853" spans="2:6" ht="14.4" x14ac:dyDescent="0.3">
      <c r="B853" s="36">
        <v>0.82899999999999996</v>
      </c>
      <c r="C853" s="43">
        <f t="shared" si="48"/>
        <v>8805.9200516296005</v>
      </c>
      <c r="D853" s="43">
        <f t="shared" si="49"/>
        <v>0.34241956177042132</v>
      </c>
      <c r="E853" s="43">
        <f t="shared" si="50"/>
        <v>0.13807436327517839</v>
      </c>
      <c r="F853" s="43">
        <f t="shared" si="51"/>
        <v>0.13426143356859419</v>
      </c>
    </row>
    <row r="854" spans="2:6" ht="14.4" x14ac:dyDescent="0.3">
      <c r="B854" s="36">
        <v>0.83</v>
      </c>
      <c r="C854" s="43">
        <f t="shared" si="48"/>
        <v>8805.1797094124631</v>
      </c>
      <c r="D854" s="43">
        <f t="shared" si="49"/>
        <v>0.34230780899237695</v>
      </c>
      <c r="E854" s="43">
        <f t="shared" si="50"/>
        <v>0.13800028132235939</v>
      </c>
      <c r="F854" s="43">
        <f t="shared" si="51"/>
        <v>0.1341981281138564</v>
      </c>
    </row>
    <row r="855" spans="2:6" ht="14.4" x14ac:dyDescent="0.3">
      <c r="B855" s="36">
        <v>0.83099999999999996</v>
      </c>
      <c r="C855" s="43">
        <f t="shared" si="48"/>
        <v>8804.4373473560809</v>
      </c>
      <c r="D855" s="43">
        <f t="shared" si="49"/>
        <v>0.34219577769877152</v>
      </c>
      <c r="E855" s="43">
        <f t="shared" si="50"/>
        <v>0.13792595415203041</v>
      </c>
      <c r="F855" s="43">
        <f t="shared" si="51"/>
        <v>0.13413466317179587</v>
      </c>
    </row>
    <row r="856" spans="2:6" ht="14.4" x14ac:dyDescent="0.3">
      <c r="B856" s="36">
        <v>0.83199999999999996</v>
      </c>
      <c r="C856" s="43">
        <f t="shared" si="48"/>
        <v>8803.6929438512325</v>
      </c>
      <c r="D856" s="43">
        <f t="shared" si="49"/>
        <v>0.34208346488322983</v>
      </c>
      <c r="E856" s="43">
        <f t="shared" si="50"/>
        <v>0.13785137916701806</v>
      </c>
      <c r="F856" s="43">
        <f t="shared" si="51"/>
        <v>0.1340710370229497</v>
      </c>
    </row>
    <row r="857" spans="2:6" ht="14.4" x14ac:dyDescent="0.3">
      <c r="B857" s="36">
        <v>0.83299999999999996</v>
      </c>
      <c r="C857" s="43">
        <f t="shared" ref="C857:C920" si="52">_xlfn.BETA.INV((1-B857),$C$7,$C$8)*($C$5-$C$3)+$C$3</f>
        <v>8802.946476953588</v>
      </c>
      <c r="D857" s="43">
        <f t="shared" ref="D857:D920" si="53">_xlfn.BETA.INV((1-B857),$D$7,$D$8)*($D$5-$D$3)+$D$3</f>
        <v>0.34197086749340233</v>
      </c>
      <c r="E857" s="43">
        <f t="shared" ref="E857:E920" si="54">_xlfn.BETA.INV((1-B857),$E$7,$E$8)*($E$5-$E$3)+$E$3</f>
        <v>0.13777655372869432</v>
      </c>
      <c r="F857" s="43">
        <f t="shared" ref="F857:F920" si="55">_xlfn.BETA.INV((1-B857),$F$7,$F$8)*($F$5-$F$3)+$F$3</f>
        <v>0.13400724792151625</v>
      </c>
    </row>
    <row r="858" spans="2:6" ht="14.4" x14ac:dyDescent="0.3">
      <c r="B858" s="36">
        <v>0.83399999999999996</v>
      </c>
      <c r="C858" s="43">
        <f t="shared" si="52"/>
        <v>8802.1979243763344</v>
      </c>
      <c r="D858" s="43">
        <f t="shared" si="53"/>
        <v>0.34185798242996196</v>
      </c>
      <c r="E858" s="43">
        <f t="shared" si="54"/>
        <v>0.13770147515605408</v>
      </c>
      <c r="F858" s="43">
        <f t="shared" si="55"/>
        <v>0.13394329409477973</v>
      </c>
    </row>
    <row r="859" spans="2:6" ht="14.4" x14ac:dyDescent="0.3">
      <c r="B859" s="36">
        <v>0.83499999999999996</v>
      </c>
      <c r="C859" s="43">
        <f t="shared" si="52"/>
        <v>8801.447263482627</v>
      </c>
      <c r="D859" s="43">
        <f t="shared" si="53"/>
        <v>0.34174480654557249</v>
      </c>
      <c r="E859" s="43">
        <f t="shared" si="54"/>
        <v>0.13762614072476623</v>
      </c>
      <c r="F859" s="43">
        <f t="shared" si="55"/>
        <v>0.13387917374251887</v>
      </c>
    </row>
    <row r="860" spans="2:6" ht="14.4" x14ac:dyDescent="0.3">
      <c r="B860" s="36">
        <v>0.83599999999999997</v>
      </c>
      <c r="C860" s="43">
        <f t="shared" si="52"/>
        <v>8800.694471277804</v>
      </c>
      <c r="D860" s="43">
        <f t="shared" si="53"/>
        <v>0.34163133664382811</v>
      </c>
      <c r="E860" s="43">
        <f t="shared" si="54"/>
        <v>0.13755054766619784</v>
      </c>
      <c r="F860" s="43">
        <f t="shared" si="55"/>
        <v>0.1338148850363991</v>
      </c>
    </row>
    <row r="861" spans="2:6" ht="14.4" x14ac:dyDescent="0.3">
      <c r="B861" s="36">
        <v>0.83699999999999997</v>
      </c>
      <c r="C861" s="43">
        <f t="shared" si="52"/>
        <v>8799.9395244013867</v>
      </c>
      <c r="D861" s="43">
        <f t="shared" si="53"/>
        <v>0.34151756947816342</v>
      </c>
      <c r="E861" s="43">
        <f t="shared" si="54"/>
        <v>0.13747469316641026</v>
      </c>
      <c r="F861" s="43">
        <f t="shared" si="55"/>
        <v>0.13375042611934726</v>
      </c>
    </row>
    <row r="862" spans="2:6" ht="14.4" x14ac:dyDescent="0.3">
      <c r="B862" s="36">
        <v>0.83799999999999997</v>
      </c>
      <c r="C862" s="43">
        <f t="shared" si="52"/>
        <v>8799.1823991188558</v>
      </c>
      <c r="D862" s="43">
        <f t="shared" si="53"/>
        <v>0.34140350175073197</v>
      </c>
      <c r="E862" s="43">
        <f t="shared" si="54"/>
        <v>0.13739857436512617</v>
      </c>
      <c r="F862" s="43">
        <f t="shared" si="55"/>
        <v>0.13368579510490891</v>
      </c>
    </row>
    <row r="863" spans="2:6" ht="14.4" x14ac:dyDescent="0.3">
      <c r="B863" s="36">
        <v>0.83899999999999997</v>
      </c>
      <c r="C863" s="43">
        <f t="shared" si="52"/>
        <v>8798.4230713131874</v>
      </c>
      <c r="D863" s="43">
        <f t="shared" si="53"/>
        <v>0.34128913011125289</v>
      </c>
      <c r="E863" s="43">
        <f t="shared" si="54"/>
        <v>0.13732218835466653</v>
      </c>
      <c r="F863" s="43">
        <f t="shared" si="55"/>
        <v>0.13362099007658704</v>
      </c>
    </row>
    <row r="864" spans="2:6" ht="14.4" x14ac:dyDescent="0.3">
      <c r="B864" s="36">
        <v>0.84</v>
      </c>
      <c r="C864" s="43">
        <f t="shared" si="52"/>
        <v>8797.6615164761461</v>
      </c>
      <c r="D864" s="43">
        <f t="shared" si="53"/>
        <v>0.34117445115582501</v>
      </c>
      <c r="E864" s="43">
        <f t="shared" si="54"/>
        <v>0.13724553217885654</v>
      </c>
      <c r="F864" s="43">
        <f t="shared" si="55"/>
        <v>0.13355600908716189</v>
      </c>
    </row>
    <row r="865" spans="2:6" ht="14.4" x14ac:dyDescent="0.3">
      <c r="B865" s="36">
        <v>0.84099999999999997</v>
      </c>
      <c r="C865" s="43">
        <f t="shared" si="52"/>
        <v>8796.8977096993167</v>
      </c>
      <c r="D865" s="43">
        <f t="shared" si="53"/>
        <v>0.34105946142570559</v>
      </c>
      <c r="E865" s="43">
        <f t="shared" si="54"/>
        <v>0.13716860283189938</v>
      </c>
      <c r="F865" s="43">
        <f t="shared" si="55"/>
        <v>0.13349085015799089</v>
      </c>
    </row>
    <row r="866" spans="2:6" ht="14.4" x14ac:dyDescent="0.3">
      <c r="B866" s="36">
        <v>0.84199999999999997</v>
      </c>
      <c r="C866" s="43">
        <f t="shared" si="52"/>
        <v>8796.1316256648934</v>
      </c>
      <c r="D866" s="43">
        <f t="shared" si="53"/>
        <v>0.3409441574060546</v>
      </c>
      <c r="E866" s="43">
        <f t="shared" si="54"/>
        <v>0.13709139725721636</v>
      </c>
      <c r="F866" s="43">
        <f t="shared" si="55"/>
        <v>0.13342551127828858</v>
      </c>
    </row>
    <row r="867" spans="2:6" ht="14.4" x14ac:dyDescent="0.3">
      <c r="B867" s="36">
        <v>0.84299999999999997</v>
      </c>
      <c r="C867" s="43">
        <f t="shared" si="52"/>
        <v>8795.3632386361733</v>
      </c>
      <c r="D867" s="43">
        <f t="shared" si="53"/>
        <v>0.34082853552464126</v>
      </c>
      <c r="E867" s="43">
        <f t="shared" si="54"/>
        <v>0.13701391234625276</v>
      </c>
      <c r="F867" s="43">
        <f t="shared" si="55"/>
        <v>0.13335999040438495</v>
      </c>
    </row>
    <row r="868" spans="2:6" ht="14.4" x14ac:dyDescent="0.3">
      <c r="B868" s="36">
        <v>0.84399999999999997</v>
      </c>
      <c r="C868" s="43">
        <f t="shared" si="52"/>
        <v>8794.5925224477833</v>
      </c>
      <c r="D868" s="43">
        <f t="shared" si="53"/>
        <v>0.34071259215051336</v>
      </c>
      <c r="E868" s="43">
        <f t="shared" si="54"/>
        <v>0.13693614493724757</v>
      </c>
      <c r="F868" s="43">
        <f t="shared" si="55"/>
        <v>0.13329428545896235</v>
      </c>
    </row>
    <row r="869" spans="2:6" ht="14.4" x14ac:dyDescent="0.3">
      <c r="B869" s="36">
        <v>0.84499999999999997</v>
      </c>
      <c r="C869" s="43">
        <f t="shared" si="52"/>
        <v>8793.8194504956173</v>
      </c>
      <c r="D869" s="43">
        <f t="shared" si="53"/>
        <v>0.34059632359262626</v>
      </c>
      <c r="E869" s="43">
        <f t="shared" si="54"/>
        <v>0.13685809181396627</v>
      </c>
      <c r="F869" s="43">
        <f t="shared" si="55"/>
        <v>0.13322839433026948</v>
      </c>
    </row>
    <row r="870" spans="2:6" ht="14.4" x14ac:dyDescent="0.3">
      <c r="B870" s="36">
        <v>0.84599999999999997</v>
      </c>
      <c r="C870" s="43">
        <f t="shared" si="52"/>
        <v>8793.0439957264553</v>
      </c>
      <c r="D870" s="43">
        <f t="shared" si="53"/>
        <v>0.34047972609843175</v>
      </c>
      <c r="E870" s="43">
        <f t="shared" si="54"/>
        <v>0.13677974970439491</v>
      </c>
      <c r="F870" s="43">
        <f t="shared" si="55"/>
        <v>0.13316231487131197</v>
      </c>
    </row>
    <row r="871" spans="2:6" ht="14.4" x14ac:dyDescent="0.3">
      <c r="B871" s="36">
        <v>0.84699999999999998</v>
      </c>
      <c r="C871" s="43">
        <f t="shared" si="52"/>
        <v>8792.2661306272857</v>
      </c>
      <c r="D871" s="43">
        <f t="shared" si="53"/>
        <v>0.34036279585242374</v>
      </c>
      <c r="E871" s="43">
        <f t="shared" si="54"/>
        <v>0.13670111527939433</v>
      </c>
      <c r="F871" s="43">
        <f t="shared" si="55"/>
        <v>0.13309604489901863</v>
      </c>
    </row>
    <row r="872" spans="2:6" ht="14.4" x14ac:dyDescent="0.3">
      <c r="B872" s="36">
        <v>0.84799999999999998</v>
      </c>
      <c r="C872" s="43">
        <f t="shared" si="52"/>
        <v>8791.4858272142974</v>
      </c>
      <c r="D872" s="43">
        <f t="shared" si="53"/>
        <v>0.34024552897464067</v>
      </c>
      <c r="E872" s="43">
        <f t="shared" si="54"/>
        <v>0.13662218515131289</v>
      </c>
      <c r="F872" s="43">
        <f t="shared" si="55"/>
        <v>0.13302958219338243</v>
      </c>
    </row>
    <row r="873" spans="2:6" ht="14.4" x14ac:dyDescent="0.3">
      <c r="B873" s="36">
        <v>0.84899999999999998</v>
      </c>
      <c r="C873" s="43">
        <f t="shared" si="52"/>
        <v>8790.7030570215284</v>
      </c>
      <c r="D873" s="43">
        <f t="shared" si="53"/>
        <v>0.34012792151912163</v>
      </c>
      <c r="E873" s="43">
        <f t="shared" si="54"/>
        <v>0.1365429558725561</v>
      </c>
      <c r="F873" s="43">
        <f t="shared" si="55"/>
        <v>0.13296292449657535</v>
      </c>
    </row>
    <row r="874" spans="2:6" ht="14.4" x14ac:dyDescent="0.3">
      <c r="B874" s="36">
        <v>0.85</v>
      </c>
      <c r="C874" s="43">
        <f t="shared" si="52"/>
        <v>8789.9177910891704</v>
      </c>
      <c r="D874" s="43">
        <f t="shared" si="53"/>
        <v>0.34000996947231593</v>
      </c>
      <c r="E874" s="43">
        <f t="shared" si="54"/>
        <v>0.13646342393411176</v>
      </c>
      <c r="F874" s="43">
        <f t="shared" si="55"/>
        <v>0.13289606951203606</v>
      </c>
    </row>
    <row r="875" spans="2:6" ht="14.4" x14ac:dyDescent="0.3">
      <c r="B875" s="36">
        <v>0.85099999999999998</v>
      </c>
      <c r="C875" s="43">
        <f t="shared" si="52"/>
        <v>8789.1299999515122</v>
      </c>
      <c r="D875" s="43">
        <f t="shared" si="53"/>
        <v>0.33989166875144278</v>
      </c>
      <c r="E875" s="43">
        <f t="shared" si="54"/>
        <v>0.13638358576402868</v>
      </c>
      <c r="F875" s="43">
        <f t="shared" si="55"/>
        <v>0.13282901490352944</v>
      </c>
    </row>
    <row r="876" spans="2:6" ht="14.4" x14ac:dyDescent="0.3">
      <c r="B876" s="36">
        <v>0.85199999999999998</v>
      </c>
      <c r="C876" s="43">
        <f t="shared" si="52"/>
        <v>8788.3396536245036</v>
      </c>
      <c r="D876" s="43">
        <f t="shared" si="53"/>
        <v>0.33977301520280062</v>
      </c>
      <c r="E876" s="43">
        <f t="shared" si="54"/>
        <v>0.13630343772584708</v>
      </c>
      <c r="F876" s="43">
        <f t="shared" si="55"/>
        <v>0.13276175829417675</v>
      </c>
    </row>
    <row r="877" spans="2:6" ht="14.4" x14ac:dyDescent="0.3">
      <c r="B877" s="36">
        <v>0.85299999999999998</v>
      </c>
      <c r="C877" s="43">
        <f t="shared" si="52"/>
        <v>8787.5467215929239</v>
      </c>
      <c r="D877" s="43">
        <f t="shared" si="53"/>
        <v>0.33965400460002337</v>
      </c>
      <c r="E877" s="43">
        <f t="shared" si="54"/>
        <v>0.13622297611697931</v>
      </c>
      <c r="F877" s="43">
        <f t="shared" si="55"/>
        <v>0.13269429726545573</v>
      </c>
    </row>
    <row r="878" spans="2:6" ht="14.4" x14ac:dyDescent="0.3">
      <c r="B878" s="36">
        <v>0.85399999999999998</v>
      </c>
      <c r="C878" s="43">
        <f t="shared" si="52"/>
        <v>8786.7511727971541</v>
      </c>
      <c r="D878" s="43">
        <f t="shared" si="53"/>
        <v>0.33953463264228162</v>
      </c>
      <c r="E878" s="43">
        <f t="shared" si="54"/>
        <v>0.13614219716703854</v>
      </c>
      <c r="F878" s="43">
        <f t="shared" si="55"/>
        <v>0.13262662935616881</v>
      </c>
    </row>
    <row r="879" spans="2:6" ht="14.4" x14ac:dyDescent="0.3">
      <c r="B879" s="36">
        <v>0.85499999999999998</v>
      </c>
      <c r="C879" s="43">
        <f t="shared" si="52"/>
        <v>8785.9529756195152</v>
      </c>
      <c r="D879" s="43">
        <f t="shared" si="53"/>
        <v>0.33941489495242705</v>
      </c>
      <c r="E879" s="43">
        <f t="shared" si="54"/>
        <v>0.13606109703611327</v>
      </c>
      <c r="F879" s="43">
        <f t="shared" si="55"/>
        <v>0.13255875206137885</v>
      </c>
    </row>
    <row r="880" spans="2:6" ht="14.4" x14ac:dyDescent="0.3">
      <c r="B880" s="36">
        <v>0.85599999999999998</v>
      </c>
      <c r="C880" s="43">
        <f t="shared" si="52"/>
        <v>8785.1520978701792</v>
      </c>
      <c r="D880" s="43">
        <f t="shared" si="53"/>
        <v>0.33929478707507726</v>
      </c>
      <c r="E880" s="43">
        <f t="shared" si="54"/>
        <v>0.13597967181298601</v>
      </c>
      <c r="F880" s="43">
        <f t="shared" si="55"/>
        <v>0.13249066283131095</v>
      </c>
    </row>
    <row r="881" spans="2:6" ht="14.4" x14ac:dyDescent="0.3">
      <c r="B881" s="36">
        <v>0.85699999999999998</v>
      </c>
      <c r="C881" s="43">
        <f t="shared" si="52"/>
        <v>8784.3485067726142</v>
      </c>
      <c r="D881" s="43">
        <f t="shared" si="53"/>
        <v>0.33917430447463964</v>
      </c>
      <c r="E881" s="43">
        <f t="shared" si="54"/>
        <v>0.1358979175132935</v>
      </c>
      <c r="F881" s="43">
        <f t="shared" si="55"/>
        <v>0.13242235907021849</v>
      </c>
    </row>
    <row r="882" spans="2:6" ht="14.4" x14ac:dyDescent="0.3">
      <c r="B882" s="36">
        <v>0.85799999999999998</v>
      </c>
      <c r="C882" s="43">
        <f t="shared" si="52"/>
        <v>8783.5421689485647</v>
      </c>
      <c r="D882" s="43">
        <f t="shared" si="53"/>
        <v>0.33905344253327041</v>
      </c>
      <c r="E882" s="43">
        <f t="shared" si="54"/>
        <v>0.13581583007762627</v>
      </c>
      <c r="F882" s="43">
        <f t="shared" si="55"/>
        <v>0.13235383813521301</v>
      </c>
    </row>
    <row r="883" spans="2:6" ht="14.4" x14ac:dyDescent="0.3">
      <c r="B883" s="36">
        <v>0.85899999999999999</v>
      </c>
      <c r="C883" s="43">
        <f t="shared" si="52"/>
        <v>8782.7330504025358</v>
      </c>
      <c r="D883" s="43">
        <f t="shared" si="53"/>
        <v>0.33893219654876794</v>
      </c>
      <c r="E883" s="43">
        <f t="shared" si="54"/>
        <v>0.13573340536956519</v>
      </c>
      <c r="F883" s="43">
        <f t="shared" si="55"/>
        <v>0.1322850973350555</v>
      </c>
    </row>
    <row r="884" spans="2:6" ht="14.4" x14ac:dyDescent="0.3">
      <c r="B884" s="36">
        <v>0.86</v>
      </c>
      <c r="C884" s="43">
        <f t="shared" si="52"/>
        <v>8781.9211165057586</v>
      </c>
      <c r="D884" s="43">
        <f t="shared" si="53"/>
        <v>0.33881056173239632</v>
      </c>
      <c r="E884" s="43">
        <f t="shared" si="54"/>
        <v>0.13565063917365228</v>
      </c>
      <c r="F884" s="43">
        <f t="shared" si="55"/>
        <v>0.13221613392890805</v>
      </c>
    </row>
    <row r="885" spans="2:6" ht="14.4" x14ac:dyDescent="0.3">
      <c r="B885" s="36">
        <v>0.86099999999999999</v>
      </c>
      <c r="C885" s="43">
        <f t="shared" si="52"/>
        <v>8781.106331979634</v>
      </c>
      <c r="D885" s="43">
        <f t="shared" si="53"/>
        <v>0.33868853320663717</v>
      </c>
      <c r="E885" s="43">
        <f t="shared" si="54"/>
        <v>0.1355675271932931</v>
      </c>
      <c r="F885" s="43">
        <f t="shared" si="55"/>
        <v>0.13214694512504432</v>
      </c>
    </row>
    <row r="886" spans="2:6" ht="14.4" x14ac:dyDescent="0.3">
      <c r="B886" s="36">
        <v>0.86199999999999999</v>
      </c>
      <c r="C886" s="43">
        <f t="shared" si="52"/>
        <v>8780.2886608786139</v>
      </c>
      <c r="D886" s="43">
        <f t="shared" si="53"/>
        <v>0.33856610600286657</v>
      </c>
      <c r="E886" s="43">
        <f t="shared" si="54"/>
        <v>0.13548406504858818</v>
      </c>
      <c r="F886" s="43">
        <f t="shared" si="55"/>
        <v>0.132077528079517</v>
      </c>
    </row>
    <row r="887" spans="2:6" ht="14.4" x14ac:dyDescent="0.3">
      <c r="B887" s="36">
        <v>0.86299999999999999</v>
      </c>
      <c r="C887" s="43">
        <f t="shared" si="52"/>
        <v>8779.4680665725064</v>
      </c>
      <c r="D887" s="43">
        <f t="shared" si="53"/>
        <v>0.33844327505895411</v>
      </c>
      <c r="E887" s="43">
        <f t="shared" si="54"/>
        <v>0.13540024827409008</v>
      </c>
      <c r="F887" s="43">
        <f t="shared" si="55"/>
        <v>0.1320078798947803</v>
      </c>
    </row>
    <row r="888" spans="2:6" ht="14.4" x14ac:dyDescent="0.3">
      <c r="B888" s="36">
        <v>0.86399999999999999</v>
      </c>
      <c r="C888" s="43">
        <f t="shared" si="52"/>
        <v>8778.6445117281746</v>
      </c>
      <c r="D888" s="43">
        <f t="shared" si="53"/>
        <v>0.33832003521678033</v>
      </c>
      <c r="E888" s="43">
        <f t="shared" si="54"/>
        <v>0.13531607231648368</v>
      </c>
      <c r="F888" s="43">
        <f t="shared" si="55"/>
        <v>0.13193799761826611</v>
      </c>
    </row>
    <row r="889" spans="2:6" ht="14.4" x14ac:dyDescent="0.3">
      <c r="B889" s="36">
        <v>0.86499999999999999</v>
      </c>
      <c r="C889" s="43">
        <f t="shared" si="52"/>
        <v>8777.8179582906214</v>
      </c>
      <c r="D889" s="43">
        <f t="shared" si="53"/>
        <v>0.33819638121967066</v>
      </c>
      <c r="E889" s="43">
        <f t="shared" si="54"/>
        <v>0.13523153253218542</v>
      </c>
      <c r="F889" s="43">
        <f t="shared" si="55"/>
        <v>0.13186787824091156</v>
      </c>
    </row>
    <row r="890" spans="2:6" ht="14.4" x14ac:dyDescent="0.3">
      <c r="B890" s="36">
        <v>0.86599999999999999</v>
      </c>
      <c r="C890" s="43">
        <f t="shared" si="52"/>
        <v>8776.9883674634148</v>
      </c>
      <c r="D890" s="43">
        <f t="shared" si="53"/>
        <v>0.33807230770973984</v>
      </c>
      <c r="E890" s="43">
        <f t="shared" si="54"/>
        <v>0.13514662418485923</v>
      </c>
      <c r="F890" s="43">
        <f t="shared" si="55"/>
        <v>0.13179751869563608</v>
      </c>
    </row>
    <row r="891" spans="2:6" ht="14.4" x14ac:dyDescent="0.3">
      <c r="B891" s="36">
        <v>0.86699999999999999</v>
      </c>
      <c r="C891" s="43">
        <f t="shared" si="52"/>
        <v>8776.1556996884192</v>
      </c>
      <c r="D891" s="43">
        <f t="shared" si="53"/>
        <v>0.33794780922514611</v>
      </c>
      <c r="E891" s="43">
        <f t="shared" si="54"/>
        <v>0.13506134244284465</v>
      </c>
      <c r="F891" s="43">
        <f t="shared" si="55"/>
        <v>0.13172691585576557</v>
      </c>
    </row>
    <row r="892" spans="2:6" ht="14.4" x14ac:dyDescent="0.3">
      <c r="B892" s="36">
        <v>0.86799999999999999</v>
      </c>
      <c r="C892" s="43">
        <f t="shared" si="52"/>
        <v>8775.3199146248426</v>
      </c>
      <c r="D892" s="43">
        <f t="shared" si="53"/>
        <v>0.33782288019724854</v>
      </c>
      <c r="E892" s="43">
        <f t="shared" si="54"/>
        <v>0.13497568237649404</v>
      </c>
      <c r="F892" s="43">
        <f t="shared" si="55"/>
        <v>0.13165606653340195</v>
      </c>
    </row>
    <row r="893" spans="2:6" ht="14.4" x14ac:dyDescent="0.3">
      <c r="B893" s="36">
        <v>0.86899999999999999</v>
      </c>
      <c r="C893" s="43">
        <f t="shared" si="52"/>
        <v>8774.4809711275266</v>
      </c>
      <c r="D893" s="43">
        <f t="shared" si="53"/>
        <v>0.33769751494766548</v>
      </c>
      <c r="E893" s="43">
        <f t="shared" si="54"/>
        <v>0.13488963895541442</v>
      </c>
      <c r="F893" s="43">
        <f t="shared" si="55"/>
        <v>0.13158496747773529</v>
      </c>
    </row>
    <row r="894" spans="2:6" ht="14.4" x14ac:dyDescent="0.3">
      <c r="B894" s="36">
        <v>0.87</v>
      </c>
      <c r="C894" s="43">
        <f t="shared" si="52"/>
        <v>8773.6388272244676</v>
      </c>
      <c r="D894" s="43">
        <f t="shared" si="53"/>
        <v>0.33757170768522854</v>
      </c>
      <c r="E894" s="43">
        <f t="shared" si="54"/>
        <v>0.13480320704561011</v>
      </c>
      <c r="F894" s="43">
        <f t="shared" si="55"/>
        <v>0.13151361537329642</v>
      </c>
    </row>
    <row r="895" spans="2:6" ht="14.4" x14ac:dyDescent="0.3">
      <c r="B895" s="36">
        <v>0.871</v>
      </c>
      <c r="C895" s="43">
        <f t="shared" si="52"/>
        <v>8772.7934400935374</v>
      </c>
      <c r="D895" s="43">
        <f t="shared" si="53"/>
        <v>0.33744545250282815</v>
      </c>
      <c r="E895" s="43">
        <f t="shared" si="54"/>
        <v>0.13471638140652165</v>
      </c>
      <c r="F895" s="43">
        <f t="shared" si="55"/>
        <v>0.13144200683814683</v>
      </c>
    </row>
    <row r="896" spans="2:6" ht="14.4" x14ac:dyDescent="0.3">
      <c r="B896" s="36">
        <v>0.872</v>
      </c>
      <c r="C896" s="43">
        <f t="shared" si="52"/>
        <v>8771.9447660383521</v>
      </c>
      <c r="D896" s="43">
        <f t="shared" si="53"/>
        <v>0.33731874337414602</v>
      </c>
      <c r="E896" s="43">
        <f t="shared" si="54"/>
        <v>0.13462915668795641</v>
      </c>
      <c r="F896" s="43">
        <f t="shared" si="55"/>
        <v>0.13137013842200401</v>
      </c>
    </row>
    <row r="897" spans="2:6" ht="14.4" x14ac:dyDescent="0.3">
      <c r="B897" s="36">
        <v>0.873</v>
      </c>
      <c r="C897" s="43">
        <f t="shared" si="52"/>
        <v>8771.092760463278</v>
      </c>
      <c r="D897" s="43">
        <f t="shared" si="53"/>
        <v>0.33719157415026901</v>
      </c>
      <c r="E897" s="43">
        <f t="shared" si="54"/>
        <v>0.13454152742690634</v>
      </c>
      <c r="F897" s="43">
        <f t="shared" si="55"/>
        <v>0.13129800660429863</v>
      </c>
    </row>
    <row r="898" spans="2:6" ht="14.4" x14ac:dyDescent="0.3">
      <c r="B898" s="36">
        <v>0.874</v>
      </c>
      <c r="C898" s="43">
        <f t="shared" si="52"/>
        <v>8770.2373778475139</v>
      </c>
      <c r="D898" s="43">
        <f t="shared" si="53"/>
        <v>0.33706393855618005</v>
      </c>
      <c r="E898" s="43">
        <f t="shared" si="54"/>
        <v>0.13445348804424703</v>
      </c>
      <c r="F898" s="43">
        <f t="shared" si="55"/>
        <v>0.13122560779216086</v>
      </c>
    </row>
    <row r="899" spans="2:6" ht="14.4" x14ac:dyDescent="0.3">
      <c r="B899" s="36">
        <v>0.875</v>
      </c>
      <c r="C899" s="43">
        <f t="shared" si="52"/>
        <v>8769.3785717182018</v>
      </c>
      <c r="D899" s="43">
        <f t="shared" si="53"/>
        <v>0.33693583018711937</v>
      </c>
      <c r="E899" s="43">
        <f t="shared" si="54"/>
        <v>0.13436503284131374</v>
      </c>
      <c r="F899" s="43">
        <f t="shared" si="55"/>
        <v>0.13115293831833269</v>
      </c>
    </row>
    <row r="900" spans="2:6" ht="14.4" x14ac:dyDescent="0.3">
      <c r="B900" s="36">
        <v>0.876</v>
      </c>
      <c r="C900" s="43">
        <f t="shared" si="52"/>
        <v>8768.5162946225628</v>
      </c>
      <c r="D900" s="43">
        <f t="shared" si="53"/>
        <v>0.33680724250481137</v>
      </c>
      <c r="E900" s="43">
        <f t="shared" si="54"/>
        <v>0.13427615599634776</v>
      </c>
      <c r="F900" s="43">
        <f t="shared" si="55"/>
        <v>0.13107999443900262</v>
      </c>
    </row>
    <row r="901" spans="2:6" ht="14.4" x14ac:dyDescent="0.3">
      <c r="B901" s="36">
        <v>0.877</v>
      </c>
      <c r="C901" s="43">
        <f t="shared" si="52"/>
        <v>8767.6504980989594</v>
      </c>
      <c r="D901" s="43">
        <f t="shared" si="53"/>
        <v>0.33667816883355051</v>
      </c>
      <c r="E901" s="43">
        <f t="shared" si="54"/>
        <v>0.13418685156080778</v>
      </c>
      <c r="F901" s="43">
        <f t="shared" si="55"/>
        <v>0.13100677233155969</v>
      </c>
    </row>
    <row r="902" spans="2:6" ht="14.4" x14ac:dyDescent="0.3">
      <c r="B902" s="36">
        <v>0.878</v>
      </c>
      <c r="C902" s="43">
        <f t="shared" si="52"/>
        <v>8766.7811326468764</v>
      </c>
      <c r="D902" s="43">
        <f t="shared" si="53"/>
        <v>0.33654860235613943</v>
      </c>
      <c r="E902" s="43">
        <f t="shared" si="54"/>
        <v>0.13409711345553973</v>
      </c>
      <c r="F902" s="43">
        <f t="shared" si="55"/>
        <v>0.13093326809226261</v>
      </c>
    </row>
    <row r="903" spans="2:6" ht="14.4" x14ac:dyDescent="0.3">
      <c r="B903" s="36">
        <v>0.879</v>
      </c>
      <c r="C903" s="43">
        <f t="shared" si="52"/>
        <v>8765.9081476957526</v>
      </c>
      <c r="D903" s="43">
        <f t="shared" si="53"/>
        <v>0.33641853610967326</v>
      </c>
      <c r="E903" s="43">
        <f t="shared" si="54"/>
        <v>0.13400693546679854</v>
      </c>
      <c r="F903" s="43">
        <f t="shared" si="55"/>
        <v>0.13085947773382051</v>
      </c>
    </row>
    <row r="904" spans="2:6" ht="14.4" x14ac:dyDescent="0.3">
      <c r="B904" s="36">
        <v>0.88</v>
      </c>
      <c r="C904" s="43">
        <f t="shared" si="52"/>
        <v>8765.0314915726085</v>
      </c>
      <c r="D904" s="43">
        <f t="shared" si="53"/>
        <v>0.33628796298116204</v>
      </c>
      <c r="E904" s="43">
        <f t="shared" si="54"/>
        <v>0.13391631124211467</v>
      </c>
      <c r="F904" s="43">
        <f t="shared" si="55"/>
        <v>0.13078539718288079</v>
      </c>
    </row>
    <row r="905" spans="2:6" ht="14.4" x14ac:dyDescent="0.3">
      <c r="B905" s="36">
        <v>0.88100000000000001</v>
      </c>
      <c r="C905" s="43">
        <f t="shared" si="52"/>
        <v>8764.1511114684236</v>
      </c>
      <c r="D905" s="43">
        <f t="shared" si="53"/>
        <v>0.3361568757029848</v>
      </c>
      <c r="E905" s="43">
        <f t="shared" si="54"/>
        <v>0.13382523428599818</v>
      </c>
      <c r="F905" s="43">
        <f t="shared" si="55"/>
        <v>0.1307110222774201</v>
      </c>
    </row>
    <row r="906" spans="2:6" ht="14.4" x14ac:dyDescent="0.3">
      <c r="B906" s="36">
        <v>0.88200000000000001</v>
      </c>
      <c r="C906" s="43">
        <f t="shared" si="52"/>
        <v>8763.2669534031847</v>
      </c>
      <c r="D906" s="43">
        <f t="shared" si="53"/>
        <v>0.33602526684816569</v>
      </c>
      <c r="E906" s="43">
        <f t="shared" si="54"/>
        <v>0.13373369795547244</v>
      </c>
      <c r="F906" s="43">
        <f t="shared" si="55"/>
        <v>0.13063634876403363</v>
      </c>
    </row>
    <row r="907" spans="2:6" ht="14.4" x14ac:dyDescent="0.3">
      <c r="B907" s="36">
        <v>0.88300000000000001</v>
      </c>
      <c r="C907" s="43">
        <f t="shared" si="52"/>
        <v>8762.3789621895703</v>
      </c>
      <c r="D907" s="43">
        <f t="shared" si="53"/>
        <v>0.33589312882546568</v>
      </c>
      <c r="E907" s="43">
        <f t="shared" si="54"/>
        <v>0.13364169545542925</v>
      </c>
      <c r="F907" s="43">
        <f t="shared" si="55"/>
        <v>0.13056137229511769</v>
      </c>
    </row>
    <row r="908" spans="2:6" ht="14.4" x14ac:dyDescent="0.3">
      <c r="B908" s="36">
        <v>0.88400000000000001</v>
      </c>
      <c r="C908" s="43">
        <f t="shared" si="52"/>
        <v>8761.4870813951784</v>
      </c>
      <c r="D908" s="43">
        <f t="shared" si="53"/>
        <v>0.33576045387427911</v>
      </c>
      <c r="E908" s="43">
        <f t="shared" si="54"/>
        <v>0.13354921983379661</v>
      </c>
      <c r="F908" s="43">
        <f t="shared" si="55"/>
        <v>0.13048608842594095</v>
      </c>
    </row>
    <row r="909" spans="2:6" ht="14.4" x14ac:dyDescent="0.3">
      <c r="B909" s="36">
        <v>0.88500000000000001</v>
      </c>
      <c r="C909" s="43">
        <f t="shared" si="52"/>
        <v>8760.5912533032315</v>
      </c>
      <c r="D909" s="43">
        <f t="shared" si="53"/>
        <v>0.33562723405932643</v>
      </c>
      <c r="E909" s="43">
        <f t="shared" si="54"/>
        <v>0.13345626397650984</v>
      </c>
      <c r="F909" s="43">
        <f t="shared" si="55"/>
        <v>0.13041049261159837</v>
      </c>
    </row>
    <row r="910" spans="2:6" ht="14.4" x14ac:dyDescent="0.3">
      <c r="B910" s="36">
        <v>0.88600000000000001</v>
      </c>
      <c r="C910" s="43">
        <f t="shared" si="52"/>
        <v>8759.6914188717037</v>
      </c>
      <c r="D910" s="43">
        <f t="shared" si="53"/>
        <v>0.33549346126513374</v>
      </c>
      <c r="E910" s="43">
        <f t="shared" si="54"/>
        <v>0.13336282060227639</v>
      </c>
      <c r="F910" s="43">
        <f t="shared" si="55"/>
        <v>0.13033458020384239</v>
      </c>
    </row>
    <row r="911" spans="2:6" ht="14.4" x14ac:dyDescent="0.3">
      <c r="B911" s="36">
        <v>0.88700000000000001</v>
      </c>
      <c r="C911" s="43">
        <f t="shared" si="52"/>
        <v>8758.7875176907637</v>
      </c>
      <c r="D911" s="43">
        <f t="shared" si="53"/>
        <v>0.33535912719028715</v>
      </c>
      <c r="E911" s="43">
        <f t="shared" si="54"/>
        <v>0.13326888225712397</v>
      </c>
      <c r="F911" s="43">
        <f t="shared" si="55"/>
        <v>0.13025834644778522</v>
      </c>
    </row>
    <row r="912" spans="2:6" ht="14.4" x14ac:dyDescent="0.3">
      <c r="B912" s="36">
        <v>0.88800000000000001</v>
      </c>
      <c r="C912" s="43">
        <f t="shared" si="52"/>
        <v>8757.8794879384714</v>
      </c>
      <c r="D912" s="43">
        <f t="shared" si="53"/>
        <v>0.33522422334145191</v>
      </c>
      <c r="E912" s="43">
        <f t="shared" si="54"/>
        <v>0.1331744413087208</v>
      </c>
      <c r="F912" s="43">
        <f t="shared" si="55"/>
        <v>0.13018178647846579</v>
      </c>
    </row>
    <row r="913" spans="2:6" ht="14.4" x14ac:dyDescent="0.3">
      <c r="B913" s="36">
        <v>0.88900000000000001</v>
      </c>
      <c r="C913" s="43">
        <f t="shared" si="52"/>
        <v>8756.9672663346173</v>
      </c>
      <c r="D913" s="43">
        <f t="shared" si="53"/>
        <v>0.33508874102714381</v>
      </c>
      <c r="E913" s="43">
        <f t="shared" si="54"/>
        <v>0.13307948994045668</v>
      </c>
      <c r="F913" s="43">
        <f t="shared" si="55"/>
        <v>0.13010489531727454</v>
      </c>
    </row>
    <row r="914" spans="2:6" ht="14.4" x14ac:dyDescent="0.3">
      <c r="B914" s="36">
        <v>0.89</v>
      </c>
      <c r="C914" s="43">
        <f t="shared" si="52"/>
        <v>8756.0507880926471</v>
      </c>
      <c r="D914" s="43">
        <f t="shared" si="53"/>
        <v>0.33495267135124096</v>
      </c>
      <c r="E914" s="43">
        <f t="shared" si="54"/>
        <v>0.13298402014527222</v>
      </c>
      <c r="F914" s="43">
        <f t="shared" si="55"/>
        <v>0.13002766786822884</v>
      </c>
    </row>
    <row r="915" spans="2:6" ht="14.4" x14ac:dyDescent="0.3">
      <c r="B915" s="36">
        <v>0.89100000000000001</v>
      </c>
      <c r="C915" s="43">
        <f t="shared" si="52"/>
        <v>8755.1299868695187</v>
      </c>
      <c r="D915" s="43">
        <f t="shared" si="53"/>
        <v>0.33481600520622179</v>
      </c>
      <c r="E915" s="43">
        <f t="shared" si="54"/>
        <v>0.13288802371922342</v>
      </c>
      <c r="F915" s="43">
        <f t="shared" si="55"/>
        <v>0.12995009891409132</v>
      </c>
    </row>
    <row r="916" spans="2:6" ht="14.4" x14ac:dyDescent="0.3">
      <c r="B916" s="36">
        <v>0.89200000000000002</v>
      </c>
      <c r="C916" s="43">
        <f t="shared" si="52"/>
        <v>8754.2047947134397</v>
      </c>
      <c r="D916" s="43">
        <f t="shared" si="53"/>
        <v>0.33467873326611564</v>
      </c>
      <c r="E916" s="43">
        <f t="shared" si="54"/>
        <v>0.13279149225476744</v>
      </c>
      <c r="F916" s="43">
        <f t="shared" si="55"/>
        <v>0.12987218311232318</v>
      </c>
    </row>
    <row r="917" spans="2:6" ht="14.4" x14ac:dyDescent="0.3">
      <c r="B917" s="36">
        <v>0.89300000000000002</v>
      </c>
      <c r="C917" s="43">
        <f t="shared" si="52"/>
        <v>8753.2751420093373</v>
      </c>
      <c r="D917" s="43">
        <f t="shared" si="53"/>
        <v>0.33454084597915085</v>
      </c>
      <c r="E917" s="43">
        <f t="shared" si="54"/>
        <v>0.13269441713375479</v>
      </c>
      <c r="F917" s="43">
        <f t="shared" si="55"/>
        <v>0.12979391499086351</v>
      </c>
    </row>
    <row r="918" spans="2:6" ht="14.4" x14ac:dyDescent="0.3">
      <c r="B918" s="36">
        <v>0.89400000000000002</v>
      </c>
      <c r="C918" s="43">
        <f t="shared" si="52"/>
        <v>8752.3409574219531</v>
      </c>
      <c r="D918" s="43">
        <f t="shared" si="53"/>
        <v>0.33440233356008425</v>
      </c>
      <c r="E918" s="43">
        <f t="shared" si="54"/>
        <v>0.13259678952011272</v>
      </c>
      <c r="F918" s="43">
        <f t="shared" si="55"/>
        <v>0.12971528894372583</v>
      </c>
    </row>
    <row r="919" spans="2:6" ht="14.4" x14ac:dyDescent="0.3">
      <c r="B919" s="36">
        <v>0.89500000000000002</v>
      </c>
      <c r="C919" s="43">
        <f t="shared" si="52"/>
        <v>8751.4021678364315</v>
      </c>
      <c r="D919" s="43">
        <f t="shared" si="53"/>
        <v>0.33426318598219545</v>
      </c>
      <c r="E919" s="43">
        <f t="shared" si="54"/>
        <v>0.13249860035220223</v>
      </c>
      <c r="F919" s="43">
        <f t="shared" si="55"/>
        <v>0.12963629922640177</v>
      </c>
    </row>
    <row r="920" spans="2:6" ht="14.4" x14ac:dyDescent="0.3">
      <c r="B920" s="36">
        <v>0.89600000000000002</v>
      </c>
      <c r="C920" s="43">
        <f t="shared" si="52"/>
        <v>8750.4586982962865</v>
      </c>
      <c r="D920" s="43">
        <f t="shared" si="53"/>
        <v>0.33412339296892746</v>
      </c>
      <c r="E920" s="43">
        <f t="shared" si="54"/>
        <v>0.13239984033483182</v>
      </c>
      <c r="F920" s="43">
        <f t="shared" si="55"/>
        <v>0.12955693995106177</v>
      </c>
    </row>
    <row r="921" spans="2:6" ht="14.4" x14ac:dyDescent="0.3">
      <c r="B921" s="36">
        <v>0.89700000000000002</v>
      </c>
      <c r="C921" s="43">
        <f t="shared" ref="C921:C984" si="56">_xlfn.BETA.INV((1-B921),$C$7,$C$8)*($C$5-$C$3)+$C$3</f>
        <v>8749.5104719385581</v>
      </c>
      <c r="D921" s="43">
        <f t="shared" ref="D921:D984" si="57">_xlfn.BETA.INV((1-B921),$D$7,$D$8)*($D$5-$D$3)+$D$3</f>
        <v>0.33398294398515482</v>
      </c>
      <c r="E921" s="43">
        <f t="shared" ref="E921:E984" si="58">_xlfn.BETA.INV((1-B921),$E$7,$E$8)*($E$5-$E$3)+$E$3</f>
        <v>0.13230049993090839</v>
      </c>
      <c r="F921" s="43">
        <f t="shared" ref="F921:F984" si="59">_xlfn.BETA.INV((1-B921),$F$7,$F$8)*($F$5-$F$3)+$F$3</f>
        <v>0.12947720508154176</v>
      </c>
    </row>
    <row r="922" spans="2:6" ht="14.4" x14ac:dyDescent="0.3">
      <c r="B922" s="36">
        <v>0.89800000000000002</v>
      </c>
      <c r="C922" s="43">
        <f t="shared" si="56"/>
        <v>8748.5574099260648</v>
      </c>
      <c r="D922" s="43">
        <f t="shared" si="57"/>
        <v>0.33384182822805886</v>
      </c>
      <c r="E922" s="43">
        <f t="shared" si="58"/>
        <v>0.13220056935270563</v>
      </c>
      <c r="F922" s="43">
        <f t="shared" si="59"/>
        <v>0.12939708842810399</v>
      </c>
    </row>
    <row r="923" spans="2:6" ht="14.4" x14ac:dyDescent="0.3">
      <c r="B923" s="36">
        <v>0.89900000000000002</v>
      </c>
      <c r="C923" s="43">
        <f t="shared" si="56"/>
        <v>8747.5994313765314</v>
      </c>
      <c r="D923" s="43">
        <f t="shared" si="57"/>
        <v>0.33370003461758757</v>
      </c>
      <c r="E923" s="43">
        <f t="shared" si="58"/>
        <v>0.13210003855272803</v>
      </c>
      <c r="F923" s="43">
        <f t="shared" si="59"/>
        <v>0.12931658364195944</v>
      </c>
    </row>
    <row r="924" spans="2:6" ht="14.4" x14ac:dyDescent="0.3">
      <c r="B924" s="36">
        <v>0.9</v>
      </c>
      <c r="C924" s="43">
        <f t="shared" si="56"/>
        <v>8746.6364532884672</v>
      </c>
      <c r="D924" s="43">
        <f t="shared" si="57"/>
        <v>0.33355755178647867</v>
      </c>
      <c r="E924" s="43">
        <f t="shared" si="58"/>
        <v>0.13199889721414776</v>
      </c>
      <c r="F924" s="43">
        <f t="shared" si="59"/>
        <v>0.12923568420953896</v>
      </c>
    </row>
    <row r="925" spans="2:6" ht="14.4" x14ac:dyDescent="0.3">
      <c r="B925" s="36">
        <v>0.90100000000000002</v>
      </c>
      <c r="C925" s="43">
        <f t="shared" si="56"/>
        <v>8745.6683904635702</v>
      </c>
      <c r="D925" s="43">
        <f t="shared" si="57"/>
        <v>0.33341436806981906</v>
      </c>
      <c r="E925" s="43">
        <f t="shared" si="58"/>
        <v>0.13189713474079001</v>
      </c>
      <c r="F925" s="43">
        <f t="shared" si="59"/>
        <v>0.1291543834464981</v>
      </c>
    </row>
    <row r="926" spans="2:6" ht="14.4" x14ac:dyDescent="0.3">
      <c r="B926" s="36">
        <v>0.90200000000000002</v>
      </c>
      <c r="C926" s="43">
        <f t="shared" si="56"/>
        <v>8744.6951554254847</v>
      </c>
      <c r="D926" s="43">
        <f t="shared" si="57"/>
        <v>0.33327047149411576</v>
      </c>
      <c r="E926" s="43">
        <f t="shared" si="58"/>
        <v>0.13179474024664056</v>
      </c>
      <c r="F926" s="43">
        <f t="shared" si="59"/>
        <v>0.12907267449144155</v>
      </c>
    </row>
    <row r="927" spans="2:6" ht="14.4" x14ac:dyDescent="0.3">
      <c r="B927" s="36">
        <v>0.90300000000000002</v>
      </c>
      <c r="C927" s="43">
        <f t="shared" si="56"/>
        <v>8743.7166583346898</v>
      </c>
      <c r="D927" s="43">
        <f t="shared" si="57"/>
        <v>0.33312584976584986</v>
      </c>
      <c r="E927" s="43">
        <f t="shared" si="58"/>
        <v>0.13169170254484777</v>
      </c>
      <c r="F927" s="43">
        <f t="shared" si="59"/>
        <v>0.12899055029934986</v>
      </c>
    </row>
    <row r="928" spans="2:6" ht="14.4" x14ac:dyDescent="0.3">
      <c r="B928" s="36">
        <v>0.90400000000000003</v>
      </c>
      <c r="C928" s="43">
        <f t="shared" si="56"/>
        <v>8742.7328068992992</v>
      </c>
      <c r="D928" s="43">
        <f t="shared" si="57"/>
        <v>0.33298049025948295</v>
      </c>
      <c r="E928" s="43">
        <f t="shared" si="58"/>
        <v>0.13158801013618882</v>
      </c>
      <c r="F928" s="43">
        <f t="shared" si="59"/>
        <v>0.12890800363469224</v>
      </c>
    </row>
    <row r="929" spans="2:6" ht="14.4" x14ac:dyDescent="0.3">
      <c r="B929" s="36">
        <v>0.90500000000000003</v>
      </c>
      <c r="C929" s="43">
        <f t="shared" si="56"/>
        <v>8741.743506281513</v>
      </c>
      <c r="D929" s="43">
        <f t="shared" si="57"/>
        <v>0.33283438000488452</v>
      </c>
      <c r="E929" s="43">
        <f t="shared" si="58"/>
        <v>0.13148365119696878</v>
      </c>
      <c r="F929" s="43">
        <f t="shared" si="59"/>
        <v>0.12882502706420607</v>
      </c>
    </row>
    <row r="930" spans="2:6" ht="14.4" x14ac:dyDescent="0.3">
      <c r="B930" s="36">
        <v>0.90600000000000003</v>
      </c>
      <c r="C930" s="43">
        <f t="shared" si="56"/>
        <v>8740.7486589994987</v>
      </c>
      <c r="D930" s="43">
        <f t="shared" si="57"/>
        <v>0.3326875056741454</v>
      </c>
      <c r="E930" s="43">
        <f t="shared" si="58"/>
        <v>0.1313786135663178</v>
      </c>
      <c r="F930" s="43">
        <f t="shared" si="59"/>
        <v>0.1287416129493239</v>
      </c>
    </row>
    <row r="931" spans="2:6" ht="14.4" x14ac:dyDescent="0.3">
      <c r="B931" s="36">
        <v>0.90700000000000003</v>
      </c>
      <c r="C931" s="43">
        <f t="shared" si="56"/>
        <v>8739.7481648243829</v>
      </c>
      <c r="D931" s="43">
        <f t="shared" si="57"/>
        <v>0.33253985356774085</v>
      </c>
      <c r="E931" s="43">
        <f t="shared" si="58"/>
        <v>0.13127288473285001</v>
      </c>
      <c r="F931" s="43">
        <f t="shared" si="59"/>
        <v>0.12865775343822647</v>
      </c>
    </row>
    <row r="932" spans="2:6" ht="14.4" x14ac:dyDescent="0.3">
      <c r="B932" s="36">
        <v>0.90800000000000003</v>
      </c>
      <c r="C932" s="43">
        <f t="shared" si="56"/>
        <v>8738.7419206720879</v>
      </c>
      <c r="D932" s="43">
        <f t="shared" si="57"/>
        <v>0.33239140960000352</v>
      </c>
      <c r="E932" s="43">
        <f t="shared" si="58"/>
        <v>0.13116645182064463</v>
      </c>
      <c r="F932" s="43">
        <f t="shared" si="59"/>
        <v>0.12857344045749919</v>
      </c>
    </row>
    <row r="933" spans="2:6" ht="14.4" x14ac:dyDescent="0.3">
      <c r="B933" s="36">
        <v>0.90900000000000003</v>
      </c>
      <c r="C933" s="43">
        <f t="shared" si="56"/>
        <v>8737.7298204896724</v>
      </c>
      <c r="D933" s="43">
        <f t="shared" si="57"/>
        <v>0.33224215928386375</v>
      </c>
      <c r="E933" s="43">
        <f t="shared" si="58"/>
        <v>0.13105930157450749</v>
      </c>
      <c r="F933" s="43">
        <f t="shared" si="59"/>
        <v>0.12848866570336762</v>
      </c>
    </row>
    <row r="934" spans="2:6" ht="14.4" x14ac:dyDescent="0.3">
      <c r="B934" s="36">
        <v>0.91</v>
      </c>
      <c r="C934" s="43">
        <f t="shared" si="56"/>
        <v>8736.7117551358569</v>
      </c>
      <c r="D934" s="43">
        <f t="shared" si="57"/>
        <v>0.33209208771481291</v>
      </c>
      <c r="E934" s="43">
        <f t="shared" si="58"/>
        <v>0.13095142034446686</v>
      </c>
      <c r="F934" s="43">
        <f t="shared" si="59"/>
        <v>0.12840342063248616</v>
      </c>
    </row>
    <row r="935" spans="2:6" ht="14.4" x14ac:dyDescent="0.3">
      <c r="B935" s="36">
        <v>0.91100000000000003</v>
      </c>
      <c r="C935" s="43">
        <f t="shared" si="56"/>
        <v>8735.6876122553476</v>
      </c>
      <c r="D935" s="43">
        <f t="shared" si="57"/>
        <v>0.33194117955403912</v>
      </c>
      <c r="E935" s="43">
        <f t="shared" si="58"/>
        <v>0.13084279406945584</v>
      </c>
      <c r="F935" s="43">
        <f t="shared" si="59"/>
        <v>0.1283176964522513</v>
      </c>
    </row>
    <row r="936" spans="2:6" ht="14.4" x14ac:dyDescent="0.3">
      <c r="B936" s="36">
        <v>0.91200000000000003</v>
      </c>
      <c r="C936" s="43">
        <f t="shared" si="56"/>
        <v>8734.6572761465741</v>
      </c>
      <c r="D936" s="43">
        <f t="shared" si="57"/>
        <v>0.33178941901068515</v>
      </c>
      <c r="E936" s="43">
        <f t="shared" si="58"/>
        <v>0.13073340826012803</v>
      </c>
      <c r="F936" s="43">
        <f t="shared" si="59"/>
        <v>0.12823148411060994</v>
      </c>
    </row>
    <row r="937" spans="2:6" ht="14.4" x14ac:dyDescent="0.3">
      <c r="B937" s="36">
        <v>0.91300000000000003</v>
      </c>
      <c r="C937" s="43">
        <f t="shared" si="56"/>
        <v>8733.6206276224038</v>
      </c>
      <c r="D937" s="43">
        <f t="shared" si="57"/>
        <v>0.33163678982316991</v>
      </c>
      <c r="E937" s="43">
        <f t="shared" si="58"/>
        <v>0.1306232479807507</v>
      </c>
      <c r="F937" s="43">
        <f t="shared" si="59"/>
        <v>0.12814477428533</v>
      </c>
    </row>
    <row r="938" spans="2:6" ht="14.4" x14ac:dyDescent="0.3">
      <c r="B938" s="36">
        <v>0.91400000000000003</v>
      </c>
      <c r="C938" s="43">
        <f t="shared" si="56"/>
        <v>8732.5775438634118</v>
      </c>
      <c r="D938" s="43">
        <f t="shared" si="57"/>
        <v>0.33148327523951504</v>
      </c>
      <c r="E938" s="43">
        <f t="shared" si="58"/>
        <v>0.1305122978301142</v>
      </c>
      <c r="F938" s="43">
        <f t="shared" si="59"/>
        <v>0.12805755737269833</v>
      </c>
    </row>
    <row r="939" spans="2:6" ht="14.4" x14ac:dyDescent="0.3">
      <c r="B939" s="36">
        <v>0.91500000000000004</v>
      </c>
      <c r="C939" s="43">
        <f t="shared" si="56"/>
        <v>8731.5278982631517</v>
      </c>
      <c r="D939" s="43">
        <f t="shared" si="57"/>
        <v>0.33132885799660938</v>
      </c>
      <c r="E939" s="43">
        <f t="shared" si="58"/>
        <v>0.1304005419213925</v>
      </c>
      <c r="F939" s="43">
        <f t="shared" si="59"/>
        <v>0.12796982347560884</v>
      </c>
    </row>
    <row r="940" spans="2:6" ht="14.4" x14ac:dyDescent="0.3">
      <c r="B940" s="36">
        <v>0.91600000000000004</v>
      </c>
      <c r="C940" s="43">
        <f t="shared" si="56"/>
        <v>8730.4715602649576</v>
      </c>
      <c r="D940" s="43">
        <f t="shared" si="57"/>
        <v>0.33117352029834207</v>
      </c>
      <c r="E940" s="43">
        <f t="shared" si="58"/>
        <v>0.1302879638608837</v>
      </c>
      <c r="F940" s="43">
        <f t="shared" si="59"/>
        <v>0.12788156239099965</v>
      </c>
    </row>
    <row r="941" spans="2:6" ht="14.4" x14ac:dyDescent="0.3">
      <c r="B941" s="36">
        <v>0.91700000000000004</v>
      </c>
      <c r="C941" s="43">
        <f t="shared" si="56"/>
        <v>8729.4083951896719</v>
      </c>
      <c r="D941" s="43">
        <f t="shared" si="57"/>
        <v>0.3310172437925275</v>
      </c>
      <c r="E941" s="43">
        <f t="shared" si="58"/>
        <v>0.13017454672555448</v>
      </c>
      <c r="F941" s="43">
        <f t="shared" si="59"/>
        <v>0.12779276359659592</v>
      </c>
    </row>
    <row r="942" spans="2:6" ht="14.4" x14ac:dyDescent="0.3">
      <c r="B942" s="36">
        <v>0.91800000000000004</v>
      </c>
      <c r="C942" s="43">
        <f t="shared" si="56"/>
        <v>8728.3382640536802</v>
      </c>
      <c r="D942" s="43">
        <f t="shared" si="57"/>
        <v>0.33086000954654043</v>
      </c>
      <c r="E942" s="43">
        <f t="shared" si="58"/>
        <v>0.1300602730393054</v>
      </c>
      <c r="F942" s="43">
        <f t="shared" si="59"/>
        <v>0.12770341623691114</v>
      </c>
    </row>
    <row r="943" spans="2:6" ht="14.4" x14ac:dyDescent="0.3">
      <c r="B943" s="36">
        <v>0.91900000000000004</v>
      </c>
      <c r="C943" s="43">
        <f t="shared" si="56"/>
        <v>8727.2610233765863</v>
      </c>
      <c r="D943" s="43">
        <f t="shared" si="57"/>
        <v>0.33070179802157235</v>
      </c>
      <c r="E943" s="43">
        <f t="shared" si="58"/>
        <v>0.12994512474786826</v>
      </c>
      <c r="F943" s="43">
        <f t="shared" si="59"/>
        <v>0.12761350910845556</v>
      </c>
    </row>
    <row r="944" spans="2:6" ht="14.4" x14ac:dyDescent="0.3">
      <c r="B944" s="36">
        <v>0.92</v>
      </c>
      <c r="C944" s="43">
        <f t="shared" si="56"/>
        <v>8726.1765249778109</v>
      </c>
      <c r="D944" s="43">
        <f t="shared" si="57"/>
        <v>0.33054258904541278</v>
      </c>
      <c r="E944" s="43">
        <f t="shared" si="58"/>
        <v>0.12982908319223818</v>
      </c>
      <c r="F944" s="43">
        <f t="shared" si="59"/>
        <v>0.12752303064409648</v>
      </c>
    </row>
    <row r="945" spans="2:6" ht="14.4" x14ac:dyDescent="0.3">
      <c r="B945" s="36">
        <v>0.92100000000000004</v>
      </c>
      <c r="C945" s="43">
        <f t="shared" si="56"/>
        <v>8725.0846157613159</v>
      </c>
      <c r="D945" s="43">
        <f t="shared" si="57"/>
        <v>0.33038236178365171</v>
      </c>
      <c r="E945" s="43">
        <f t="shared" si="58"/>
        <v>0.12971212908053537</v>
      </c>
      <c r="F945" s="43">
        <f t="shared" si="59"/>
        <v>0.1274319688965109</v>
      </c>
    </row>
    <row r="946" spans="2:6" ht="14.4" x14ac:dyDescent="0.3">
      <c r="B946" s="36">
        <v>0.92200000000000004</v>
      </c>
      <c r="C946" s="43">
        <f t="shared" si="56"/>
        <v>8723.9851374876052</v>
      </c>
      <c r="D946" s="43">
        <f t="shared" si="57"/>
        <v>0.33022109470919009</v>
      </c>
      <c r="E946" s="43">
        <f t="shared" si="58"/>
        <v>0.12959424245818316</v>
      </c>
      <c r="F946" s="43">
        <f t="shared" si="59"/>
        <v>0.12734031152066511</v>
      </c>
    </row>
    <row r="947" spans="2:6" ht="14.4" x14ac:dyDescent="0.3">
      <c r="B947" s="36">
        <v>0.92300000000000004</v>
      </c>
      <c r="C947" s="43">
        <f t="shared" si="56"/>
        <v>8722.8779265320773</v>
      </c>
      <c r="D947" s="43">
        <f t="shared" si="57"/>
        <v>0.33005876556993613</v>
      </c>
      <c r="E947" s="43">
        <f t="shared" si="58"/>
        <v>0.12947540267627788</v>
      </c>
      <c r="F947" s="43">
        <f t="shared" si="59"/>
        <v>0.127248045755251</v>
      </c>
    </row>
    <row r="948" spans="2:6" ht="14.4" x14ac:dyDescent="0.3">
      <c r="B948" s="36">
        <v>0.92400000000000004</v>
      </c>
      <c r="C948" s="43">
        <f t="shared" si="56"/>
        <v>8721.7628136287276</v>
      </c>
      <c r="D948" s="43">
        <f t="shared" si="57"/>
        <v>0.32989535135455406</v>
      </c>
      <c r="E948" s="43">
        <f t="shared" si="58"/>
        <v>0.12935558835801625</v>
      </c>
      <c r="F948" s="43">
        <f t="shared" si="59"/>
        <v>0.12715515840300268</v>
      </c>
    </row>
    <row r="949" spans="2:6" ht="14.4" x14ac:dyDescent="0.3">
      <c r="B949" s="36">
        <v>0.92500000000000004</v>
      </c>
      <c r="C949" s="43">
        <f t="shared" si="56"/>
        <v>8720.6396235980956</v>
      </c>
      <c r="D949" s="43">
        <f t="shared" si="57"/>
        <v>0.32973082825612121</v>
      </c>
      <c r="E949" s="43">
        <f t="shared" si="58"/>
        <v>0.12923477736303368</v>
      </c>
      <c r="F949" s="43">
        <f t="shared" si="59"/>
        <v>0.12706163580980964</v>
      </c>
    </row>
    <row r="950" spans="2:6" ht="14.4" x14ac:dyDescent="0.3">
      <c r="B950" s="36">
        <v>0.92600000000000005</v>
      </c>
      <c r="C950" s="43">
        <f t="shared" si="56"/>
        <v>8719.5081750582776</v>
      </c>
      <c r="D950" s="43">
        <f t="shared" si="57"/>
        <v>0.32956517163353499</v>
      </c>
      <c r="E950" s="43">
        <f t="shared" si="58"/>
        <v>0.12911294674949353</v>
      </c>
      <c r="F950" s="43">
        <f t="shared" si="59"/>
        <v>0.12696746384253665</v>
      </c>
    </row>
    <row r="951" spans="2:6" ht="14.4" x14ac:dyDescent="0.3">
      <c r="B951" s="36">
        <v>0.92700000000000005</v>
      </c>
      <c r="C951" s="43">
        <f t="shared" si="56"/>
        <v>8718.3682801176947</v>
      </c>
      <c r="D951" s="43">
        <f t="shared" si="57"/>
        <v>0.3293983559704991</v>
      </c>
      <c r="E951" s="43">
        <f t="shared" si="58"/>
        <v>0.12899007273375324</v>
      </c>
      <c r="F951" s="43">
        <f t="shared" si="59"/>
        <v>0.12687262786545053</v>
      </c>
    </row>
    <row r="952" spans="2:6" ht="14.4" x14ac:dyDescent="0.3">
      <c r="B952" s="36">
        <v>0.92800000000000005</v>
      </c>
      <c r="C952" s="43">
        <f t="shared" si="56"/>
        <v>8717.2197440482141</v>
      </c>
      <c r="D952" s="43">
        <f t="shared" si="57"/>
        <v>0.32923035483190083</v>
      </c>
      <c r="E952" s="43">
        <f t="shared" si="58"/>
        <v>0.12886613064741681</v>
      </c>
      <c r="F952" s="43">
        <f t="shared" si="59"/>
        <v>0.12677711271514702</v>
      </c>
    </row>
    <row r="953" spans="2:6" ht="14.4" x14ac:dyDescent="0.3">
      <c r="B953" s="36">
        <v>0.92900000000000005</v>
      </c>
      <c r="C953" s="43">
        <f t="shared" si="56"/>
        <v>8716.0623649370464</v>
      </c>
      <c r="D953" s="43">
        <f t="shared" si="57"/>
        <v>0.32906114081737525</v>
      </c>
      <c r="E953" s="43">
        <f t="shared" si="58"/>
        <v>0.12874109489156527</v>
      </c>
      <c r="F953" s="43">
        <f t="shared" si="59"/>
        <v>0.12668090267385923</v>
      </c>
    </row>
    <row r="954" spans="2:6" ht="14.4" x14ac:dyDescent="0.3">
      <c r="B954" s="36">
        <v>0.93</v>
      </c>
      <c r="C954" s="43">
        <f t="shared" si="56"/>
        <v>8714.8959333157472</v>
      </c>
      <c r="D954" s="43">
        <f t="shared" si="57"/>
        <v>0.3288906855118322</v>
      </c>
      <c r="E954" s="43">
        <f t="shared" si="58"/>
        <v>0.12861493888793721</v>
      </c>
      <c r="F954" s="43">
        <f t="shared" si="59"/>
        <v>0.12658398144101923</v>
      </c>
    </row>
    <row r="955" spans="2:6" ht="14.4" x14ac:dyDescent="0.3">
      <c r="B955" s="36">
        <v>0.93100000000000005</v>
      </c>
      <c r="C955" s="43">
        <f t="shared" si="56"/>
        <v>8713.7202317644715</v>
      </c>
      <c r="D955" s="43">
        <f t="shared" si="57"/>
        <v>0.32871895943270119</v>
      </c>
      <c r="E955" s="43">
        <f t="shared" si="58"/>
        <v>0.1284876350268094</v>
      </c>
      <c r="F955" s="43">
        <f t="shared" si="59"/>
        <v>0.12648633210293153</v>
      </c>
    </row>
    <row r="956" spans="2:6" ht="14.4" x14ac:dyDescent="0.3">
      <c r="B956" s="36">
        <v>0.93200000000000005</v>
      </c>
      <c r="C956" s="43">
        <f t="shared" si="56"/>
        <v>8712.5350344893923</v>
      </c>
      <c r="D956" s="43">
        <f t="shared" si="57"/>
        <v>0.32854593197362542</v>
      </c>
      <c r="E956" s="43">
        <f t="shared" si="58"/>
        <v>0.12835915461130293</v>
      </c>
      <c r="F956" s="43">
        <f t="shared" si="59"/>
        <v>0.12638793710040394</v>
      </c>
    </row>
    <row r="957" spans="2:6" ht="14.4" x14ac:dyDescent="0.3">
      <c r="B957" s="36">
        <v>0.93300000000000005</v>
      </c>
      <c r="C957" s="43">
        <f t="shared" si="56"/>
        <v>8711.3401068711319</v>
      </c>
      <c r="D957" s="43">
        <f t="shared" si="57"/>
        <v>0.32837157134430955</v>
      </c>
      <c r="E957" s="43">
        <f t="shared" si="58"/>
        <v>0.12822946779781319</v>
      </c>
      <c r="F957" s="43">
        <f t="shared" si="59"/>
        <v>0.1262887781941657</v>
      </c>
    </row>
    <row r="958" spans="2:6" ht="14.4" x14ac:dyDescent="0.3">
      <c r="B958" s="36">
        <v>0.93400000000000005</v>
      </c>
      <c r="C958" s="43">
        <f t="shared" si="56"/>
        <v>8710.1352049816469</v>
      </c>
      <c r="D958" s="43">
        <f t="shared" si="57"/>
        <v>0.32819584450619738</v>
      </c>
      <c r="E958" s="43">
        <f t="shared" si="58"/>
        <v>0.12809854353223182</v>
      </c>
      <c r="F958" s="43">
        <f t="shared" si="59"/>
        <v>0.1261888364278865</v>
      </c>
    </row>
    <row r="959" spans="2:6" ht="14.4" x14ac:dyDescent="0.3">
      <c r="B959" s="36">
        <v>0.93500000000000005</v>
      </c>
      <c r="C959" s="43">
        <f t="shared" si="56"/>
        <v>8708.9200750669388</v>
      </c>
      <c r="D959" s="43">
        <f t="shared" si="57"/>
        <v>0.32801871710362207</v>
      </c>
      <c r="E959" s="43">
        <f t="shared" si="58"/>
        <v>0.12796634948159441</v>
      </c>
      <c r="F959" s="43">
        <f t="shared" si="59"/>
        <v>0.12608809208859062</v>
      </c>
    </row>
    <row r="960" spans="2:6" ht="14.4" x14ac:dyDescent="0.3">
      <c r="B960" s="36">
        <v>0.93600000000000005</v>
      </c>
      <c r="C960" s="43">
        <f t="shared" si="56"/>
        <v>8707.6944529925513</v>
      </c>
      <c r="D960" s="43">
        <f t="shared" si="57"/>
        <v>0.32784015339003497</v>
      </c>
      <c r="E960" s="43">
        <f t="shared" si="58"/>
        <v>0.12783285196075014</v>
      </c>
      <c r="F960" s="43">
        <f t="shared" si="59"/>
        <v>0.12598652466423949</v>
      </c>
    </row>
    <row r="961" spans="2:6" ht="14.4" x14ac:dyDescent="0.3">
      <c r="B961" s="36">
        <v>0.93700000000000006</v>
      </c>
      <c r="C961" s="43">
        <f t="shared" si="56"/>
        <v>8706.4580636485698</v>
      </c>
      <c r="D961" s="43">
        <f t="shared" si="57"/>
        <v>0.32766011614887924</v>
      </c>
      <c r="E961" s="43">
        <f t="shared" si="58"/>
        <v>0.12769801585360666</v>
      </c>
      <c r="F961" s="43">
        <f t="shared" si="59"/>
        <v>0.12588411279823267</v>
      </c>
    </row>
    <row r="962" spans="2:6" ht="14.4" x14ac:dyDescent="0.3">
      <c r="B962" s="36">
        <v>0.93799999999999994</v>
      </c>
      <c r="C962" s="43">
        <f t="shared" si="56"/>
        <v>8705.2106203104722</v>
      </c>
      <c r="D962" s="43">
        <f t="shared" si="57"/>
        <v>0.32747856660862673</v>
      </c>
      <c r="E962" s="43">
        <f t="shared" si="58"/>
        <v>0.12756180452845575</v>
      </c>
      <c r="F962" s="43">
        <f t="shared" si="59"/>
        <v>0.12578083424055053</v>
      </c>
    </row>
    <row r="963" spans="2:6" ht="14.4" x14ac:dyDescent="0.3">
      <c r="B963" s="36">
        <v>0.93899999999999995</v>
      </c>
      <c r="C963" s="43">
        <f t="shared" si="56"/>
        <v>8703.9518239517729</v>
      </c>
      <c r="D963" s="43">
        <f t="shared" si="57"/>
        <v>0.3272954643514468</v>
      </c>
      <c r="E963" s="43">
        <f t="shared" si="58"/>
        <v>0.12742417974683187</v>
      </c>
      <c r="F963" s="43">
        <f t="shared" si="59"/>
        <v>0.12567666579523215</v>
      </c>
    </row>
    <row r="964" spans="2:6" ht="14.4" x14ac:dyDescent="0.3">
      <c r="B964" s="36">
        <v>0.94</v>
      </c>
      <c r="C964" s="43">
        <f t="shared" si="56"/>
        <v>8702.6813625039904</v>
      </c>
      <c r="D964" s="43">
        <f t="shared" si="57"/>
        <v>0.3271107672149165</v>
      </c>
      <c r="E964" s="43">
        <f t="shared" si="58"/>
        <v>0.12728510156529405</v>
      </c>
      <c r="F964" s="43">
        <f t="shared" si="59"/>
        <v>0.1255715832638486</v>
      </c>
    </row>
    <row r="965" spans="2:6" ht="14.4" x14ac:dyDescent="0.3">
      <c r="B965" s="36">
        <v>0.94099999999999995</v>
      </c>
      <c r="C965" s="43">
        <f t="shared" si="56"/>
        <v>8701.3989100589315</v>
      </c>
      <c r="D965" s="43">
        <f t="shared" si="57"/>
        <v>0.32692443118611608</v>
      </c>
      <c r="E965" s="43">
        <f t="shared" si="58"/>
        <v>0.1271445282294543</v>
      </c>
      <c r="F965" s="43">
        <f t="shared" si="59"/>
        <v>0.12546556138459392</v>
      </c>
    </row>
    <row r="966" spans="2:6" ht="14.4" x14ac:dyDescent="0.3">
      <c r="B966" s="36">
        <v>0.94199999999999995</v>
      </c>
      <c r="C966" s="43">
        <f t="shared" si="56"/>
        <v>8700.1041260077345</v>
      </c>
      <c r="D966" s="43">
        <f t="shared" si="57"/>
        <v>0.32673641028738071</v>
      </c>
      <c r="E966" s="43">
        <f t="shared" si="58"/>
        <v>0.12700241605949733</v>
      </c>
      <c r="F966" s="43">
        <f t="shared" si="59"/>
        <v>0.12535857376657383</v>
      </c>
    </row>
    <row r="967" spans="2:6" ht="14.4" x14ac:dyDescent="0.3">
      <c r="B967" s="36">
        <v>0.94299999999999995</v>
      </c>
      <c r="C967" s="43">
        <f t="shared" si="56"/>
        <v>8698.796654110487</v>
      </c>
      <c r="D967" s="43">
        <f t="shared" si="57"/>
        <v>0.32654665645289382</v>
      </c>
      <c r="E967" s="43">
        <f t="shared" si="58"/>
        <v>0.1268587193263486</v>
      </c>
      <c r="F967" s="43">
        <f t="shared" si="59"/>
        <v>0.1252505928188232</v>
      </c>
    </row>
    <row r="968" spans="2:6" ht="14.4" x14ac:dyDescent="0.3">
      <c r="B968" s="36">
        <v>0.94399999999999995</v>
      </c>
      <c r="C968" s="43">
        <f t="shared" si="56"/>
        <v>8697.4761214894897</v>
      </c>
      <c r="D968" s="43">
        <f t="shared" si="57"/>
        <v>0.32635511939521422</v>
      </c>
      <c r="E968" s="43">
        <f t="shared" si="58"/>
        <v>0.1267133901175482</v>
      </c>
      <c r="F968" s="43">
        <f t="shared" si="59"/>
        <v>0.12514158967352895</v>
      </c>
    </row>
    <row r="969" spans="2:6" ht="14.4" x14ac:dyDescent="0.3">
      <c r="B969" s="36">
        <v>0.94499999999999995</v>
      </c>
      <c r="C969" s="43">
        <f t="shared" si="56"/>
        <v>8696.1421375383961</v>
      </c>
      <c r="D969" s="43">
        <f t="shared" si="57"/>
        <v>0.32616174646071971</v>
      </c>
      <c r="E969" s="43">
        <f t="shared" si="58"/>
        <v>0.12656637819177419</v>
      </c>
      <c r="F969" s="43">
        <f t="shared" si="59"/>
        <v>0.12503153410287335</v>
      </c>
    </row>
    <row r="970" spans="2:6" ht="14.4" x14ac:dyDescent="0.3">
      <c r="B970" s="36">
        <v>0.94599999999999995</v>
      </c>
      <c r="C970" s="43">
        <f t="shared" si="56"/>
        <v>8694.7942927385648</v>
      </c>
      <c r="D970" s="43">
        <f t="shared" si="57"/>
        <v>0.32596648247282711</v>
      </c>
      <c r="E970" s="43">
        <f t="shared" si="58"/>
        <v>0.12641763082082885</v>
      </c>
      <c r="F970" s="43">
        <f t="shared" si="59"/>
        <v>0.1249203944288398</v>
      </c>
    </row>
    <row r="971" spans="2:6" ht="14.4" x14ac:dyDescent="0.3">
      <c r="B971" s="36">
        <v>0.94699999999999995</v>
      </c>
      <c r="C971" s="43">
        <f t="shared" si="56"/>
        <v>8693.4321573728175</v>
      </c>
      <c r="D971" s="43">
        <f t="shared" si="57"/>
        <v>0.32576926956170787</v>
      </c>
      <c r="E971" s="43">
        <f t="shared" si="58"/>
        <v>0.12626709261775382</v>
      </c>
      <c r="F971" s="43">
        <f t="shared" si="59"/>
        <v>0.1248081374252448</v>
      </c>
    </row>
    <row r="972" spans="2:6" ht="14.4" x14ac:dyDescent="0.3">
      <c r="B972" s="36">
        <v>0.94799999999999995</v>
      </c>
      <c r="C972" s="43">
        <f t="shared" si="56"/>
        <v>8692.0552801256144</v>
      </c>
      <c r="D972" s="43">
        <f t="shared" si="57"/>
        <v>0.32557004697905767</v>
      </c>
      <c r="E972" s="43">
        <f t="shared" si="58"/>
        <v>0.12611470534956884</v>
      </c>
      <c r="F972" s="43">
        <f t="shared" si="59"/>
        <v>0.1246947282111642</v>
      </c>
    </row>
    <row r="973" spans="2:6" ht="14.4" x14ac:dyDescent="0.3">
      <c r="B973" s="36">
        <v>0.94899999999999995</v>
      </c>
      <c r="C973" s="43">
        <f t="shared" si="56"/>
        <v>8690.6631865572162</v>
      </c>
      <c r="D973" s="43">
        <f t="shared" si="57"/>
        <v>0.32536875089629269</v>
      </c>
      <c r="E973" s="43">
        <f t="shared" si="58"/>
        <v>0.12596040773293415</v>
      </c>
      <c r="F973" s="43">
        <f t="shared" si="59"/>
        <v>0.12458013013481742</v>
      </c>
    </row>
    <row r="974" spans="2:6" ht="14.4" x14ac:dyDescent="0.3">
      <c r="B974" s="36">
        <v>0.95</v>
      </c>
      <c r="C974" s="43">
        <f t="shared" si="56"/>
        <v>8689.2553774377702</v>
      </c>
      <c r="D974" s="43">
        <f t="shared" si="57"/>
        <v>0.32516531418433403</v>
      </c>
      <c r="E974" s="43">
        <f t="shared" si="58"/>
        <v>0.12580413521081069</v>
      </c>
      <c r="F974" s="43">
        <f t="shared" si="59"/>
        <v>0.12446430464684952</v>
      </c>
    </row>
    <row r="975" spans="2:6" ht="14.4" x14ac:dyDescent="0.3">
      <c r="B975" s="36">
        <v>0.95099999999999996</v>
      </c>
      <c r="C975" s="43">
        <f t="shared" si="56"/>
        <v>8687.8313269253795</v>
      </c>
      <c r="D975" s="43">
        <f t="shared" si="57"/>
        <v>0.32495966617289457</v>
      </c>
      <c r="E975" s="43">
        <f t="shared" si="58"/>
        <v>0.12564581970793234</v>
      </c>
      <c r="F975" s="43">
        <f t="shared" si="59"/>
        <v>0.12434721116181005</v>
      </c>
    </row>
    <row r="976" spans="2:6" ht="14.4" x14ac:dyDescent="0.3">
      <c r="B976" s="36">
        <v>0.95199999999999996</v>
      </c>
      <c r="C976" s="43">
        <f t="shared" si="56"/>
        <v>8686.3904805700349</v>
      </c>
      <c r="D976" s="43">
        <f t="shared" si="57"/>
        <v>0.32475173238690047</v>
      </c>
      <c r="E976" s="43">
        <f t="shared" si="58"/>
        <v>0.12548538936260198</v>
      </c>
      <c r="F976" s="43">
        <f t="shared" si="59"/>
        <v>0.12422880690646398</v>
      </c>
    </row>
    <row r="977" spans="2:6" ht="14.4" x14ac:dyDescent="0.3">
      <c r="B977" s="36">
        <v>0.95299999999999996</v>
      </c>
      <c r="C977" s="43">
        <f t="shared" si="56"/>
        <v>8684.9322531227772</v>
      </c>
      <c r="D977" s="43">
        <f t="shared" si="57"/>
        <v>0.32454143425734905</v>
      </c>
      <c r="E977" s="43">
        <f t="shared" si="58"/>
        <v>0.12532276823197375</v>
      </c>
      <c r="F977" s="43">
        <f t="shared" si="59"/>
        <v>0.1241090467533801</v>
      </c>
    </row>
    <row r="978" spans="2:6" ht="14.4" x14ac:dyDescent="0.3">
      <c r="B978" s="36">
        <v>0.95399999999999996</v>
      </c>
      <c r="C978" s="43">
        <f t="shared" si="56"/>
        <v>8683.4560261264523</v>
      </c>
      <c r="D978" s="43">
        <f t="shared" si="57"/>
        <v>0.32432868880352317</v>
      </c>
      <c r="E978" s="43">
        <f t="shared" si="58"/>
        <v>0.12515787596757452</v>
      </c>
      <c r="F978" s="43">
        <f t="shared" si="59"/>
        <v>0.12398788303802175</v>
      </c>
    </row>
    <row r="979" spans="2:6" ht="14.4" x14ac:dyDescent="0.3">
      <c r="B979" s="36">
        <v>0.95499999999999996</v>
      </c>
      <c r="C979" s="43">
        <f t="shared" si="56"/>
        <v>8681.9611452610625</v>
      </c>
      <c r="D979" s="43">
        <f t="shared" si="57"/>
        <v>0.32411340828303381</v>
      </c>
      <c r="E979" s="43">
        <f t="shared" si="58"/>
        <v>0.12499062745734046</v>
      </c>
      <c r="F979" s="43">
        <f t="shared" si="59"/>
        <v>0.12386526535730678</v>
      </c>
    </row>
    <row r="980" spans="2:6" ht="14.4" x14ac:dyDescent="0.3">
      <c r="B980" s="36">
        <v>0.95599999999999996</v>
      </c>
      <c r="C980" s="43">
        <f t="shared" si="56"/>
        <v>8680.4469174126589</v>
      </c>
      <c r="D980" s="43">
        <f t="shared" si="57"/>
        <v>0.32389549980564075</v>
      </c>
      <c r="E980" s="43">
        <f t="shared" si="58"/>
        <v>0.12482093242988451</v>
      </c>
      <c r="F980" s="43">
        <f t="shared" si="59"/>
        <v>0.12374114034730228</v>
      </c>
    </row>
    <row r="981" spans="2:6" ht="14.4" x14ac:dyDescent="0.3">
      <c r="B981" s="36">
        <v>0.95699999999999996</v>
      </c>
      <c r="C981" s="43">
        <f t="shared" si="56"/>
        <v>8678.9126074299274</v>
      </c>
      <c r="D981" s="43">
        <f t="shared" si="57"/>
        <v>0.32367486490618586</v>
      </c>
      <c r="E981" s="43">
        <f t="shared" si="58"/>
        <v>0.12464869501605141</v>
      </c>
      <c r="F981" s="43">
        <f t="shared" si="59"/>
        <v>0.12361545143736481</v>
      </c>
    </row>
    <row r="982" spans="2:6" ht="14.4" x14ac:dyDescent="0.3">
      <c r="B982" s="36">
        <v>0.95799999999999996</v>
      </c>
      <c r="C982" s="43">
        <f t="shared" si="56"/>
        <v>8677.35743452717</v>
      </c>
      <c r="D982" s="43">
        <f t="shared" si="57"/>
        <v>0.32345139907124931</v>
      </c>
      <c r="E982" s="43">
        <f t="shared" si="58"/>
        <v>0.12447381326203924</v>
      </c>
      <c r="F982" s="43">
        <f t="shared" si="59"/>
        <v>0.12348813857761966</v>
      </c>
    </row>
    <row r="983" spans="2:6" ht="14.4" x14ac:dyDescent="0.3">
      <c r="B983" s="36">
        <v>0.95899999999999996</v>
      </c>
      <c r="C983" s="43">
        <f t="shared" si="56"/>
        <v>8675.7805682856178</v>
      </c>
      <c r="D983" s="43">
        <f t="shared" si="57"/>
        <v>0.3232249912132828</v>
      </c>
      <c r="E983" s="43">
        <f t="shared" si="58"/>
        <v>0.12429617858744282</v>
      </c>
      <c r="F983" s="43">
        <f t="shared" si="59"/>
        <v>0.12335913793617789</v>
      </c>
    </row>
    <row r="984" spans="2:6" ht="14.4" x14ac:dyDescent="0.3">
      <c r="B984" s="36">
        <v>0.96</v>
      </c>
      <c r="C984" s="43">
        <f t="shared" si="56"/>
        <v>8674.181124197301</v>
      </c>
      <c r="D984" s="43">
        <f t="shared" si="57"/>
        <v>0.32299552308495438</v>
      </c>
      <c r="E984" s="43">
        <f t="shared" si="58"/>
        <v>0.12411567518047834</v>
      </c>
      <c r="F984" s="43">
        <f t="shared" si="59"/>
        <v>0.1232283815619034</v>
      </c>
    </row>
    <row r="985" spans="2:6" ht="14.4" x14ac:dyDescent="0.3">
      <c r="B985" s="36">
        <v>0.96099999999999997</v>
      </c>
      <c r="C985" s="43">
        <f t="shared" ref="C985:C1023" si="60">_xlfn.BETA.INV((1-B985),$C$7,$C$8)*($C$5-$C$3)+$C$3</f>
        <v>8672.5581586862245</v>
      </c>
      <c r="D985" s="43">
        <f t="shared" ref="D985:D1023" si="61">_xlfn.BETA.INV((1-B985),$D$7,$D$8)*($D$5-$D$3)+$D$3</f>
        <v>0.32276286862522863</v>
      </c>
      <c r="E985" s="43">
        <f t="shared" ref="E985:E1023" si="62">_xlfn.BETA.INV((1-B985),$E$7,$E$8)*($E$5-$E$3)+$E$3</f>
        <v>0.12393217932133579</v>
      </c>
      <c r="F985" s="43">
        <f t="shared" ref="F985:F1023" si="63">_xlfn.BETA.INV((1-B985),$F$7,$F$8)*($F$5-$F$3)+$F$3</f>
        <v>0.12309579700784183</v>
      </c>
    </row>
    <row r="986" spans="2:6" ht="14.4" x14ac:dyDescent="0.3">
      <c r="B986" s="36">
        <v>0.96199999999999997</v>
      </c>
      <c r="C986" s="43">
        <f t="shared" si="60"/>
        <v>8670.9106635304452</v>
      </c>
      <c r="D986" s="43">
        <f t="shared" si="61"/>
        <v>0.32252689322725098</v>
      </c>
      <c r="E986" s="43">
        <f t="shared" si="62"/>
        <v>0.12374555862303424</v>
      </c>
      <c r="F986" s="43">
        <f t="shared" si="63"/>
        <v>0.12296130690958576</v>
      </c>
    </row>
    <row r="987" spans="2:6" ht="14.4" x14ac:dyDescent="0.3">
      <c r="B987" s="36">
        <v>0.96299999999999997</v>
      </c>
      <c r="C987" s="43">
        <f t="shared" si="60"/>
        <v>8669.2375595950925</v>
      </c>
      <c r="D987" s="43">
        <f t="shared" si="61"/>
        <v>0.32228745291636035</v>
      </c>
      <c r="E987" s="43">
        <f t="shared" si="62"/>
        <v>0.12355567117725824</v>
      </c>
      <c r="F987" s="43">
        <f t="shared" si="63"/>
        <v>0.12282482851184247</v>
      </c>
    </row>
    <row r="988" spans="2:6" ht="14.4" x14ac:dyDescent="0.3">
      <c r="B988" s="36">
        <v>0.96399999999999997</v>
      </c>
      <c r="C988" s="43">
        <f t="shared" si="60"/>
        <v>8667.5376897701026</v>
      </c>
      <c r="D988" s="43">
        <f t="shared" si="61"/>
        <v>0.32204439342444197</v>
      </c>
      <c r="E988" s="43">
        <f t="shared" si="62"/>
        <v>0.12336236459036024</v>
      </c>
      <c r="F988" s="43">
        <f t="shared" si="63"/>
        <v>0.12268627313525317</v>
      </c>
    </row>
    <row r="989" spans="2:6" ht="14.4" x14ac:dyDescent="0.3">
      <c r="B989" s="36">
        <v>0.96499999999999997</v>
      </c>
      <c r="C989" s="43">
        <f t="shared" si="60"/>
        <v>8665.8098109865241</v>
      </c>
      <c r="D989" s="43">
        <f t="shared" si="61"/>
        <v>0.321797549144273</v>
      </c>
      <c r="E989" s="43">
        <f t="shared" si="62"/>
        <v>0.12316547489192142</v>
      </c>
      <c r="F989" s="43">
        <f t="shared" si="63"/>
        <v>0.1225455455740348</v>
      </c>
    </row>
    <row r="990" spans="2:6" ht="14.4" x14ac:dyDescent="0.3">
      <c r="B990" s="36">
        <v>0.96599999999999997</v>
      </c>
      <c r="C990" s="43">
        <f t="shared" si="60"/>
        <v>8664.0525851611274</v>
      </c>
      <c r="D990" s="43">
        <f t="shared" si="61"/>
        <v>0.32154674194438754</v>
      </c>
      <c r="E990" s="43">
        <f t="shared" si="62"/>
        <v>0.12296482529485075</v>
      </c>
      <c r="F990" s="43">
        <f t="shared" si="63"/>
        <v>0.12240254341321206</v>
      </c>
    </row>
    <row r="991" spans="2:6" ht="14.4" x14ac:dyDescent="0.3">
      <c r="B991" s="36">
        <v>0.96699999999999997</v>
      </c>
      <c r="C991" s="43">
        <f t="shared" si="60"/>
        <v>8662.2645688892862</v>
      </c>
      <c r="D991" s="43">
        <f t="shared" si="61"/>
        <v>0.32129177982115481</v>
      </c>
      <c r="E991" s="43">
        <f t="shared" si="62"/>
        <v>0.12276022478180551</v>
      </c>
      <c r="F991" s="43">
        <f t="shared" si="63"/>
        <v>0.12225715625199557</v>
      </c>
    </row>
    <row r="992" spans="2:6" ht="14.4" x14ac:dyDescent="0.3">
      <c r="B992" s="36">
        <v>0.96799999999999997</v>
      </c>
      <c r="C992" s="43">
        <f t="shared" si="60"/>
        <v>8660.4442016693811</v>
      </c>
      <c r="D992" s="43">
        <f t="shared" si="61"/>
        <v>0.32103245536003705</v>
      </c>
      <c r="E992" s="43">
        <f t="shared" si="62"/>
        <v>0.12255146648752768</v>
      </c>
      <c r="F992" s="43">
        <f t="shared" si="63"/>
        <v>0.12210926481713266</v>
      </c>
    </row>
    <row r="993" spans="2:6" ht="14.4" x14ac:dyDescent="0.3">
      <c r="B993" s="36">
        <v>0.96899999999999997</v>
      </c>
      <c r="C993" s="43">
        <f t="shared" si="60"/>
        <v>8658.5897923964894</v>
      </c>
      <c r="D993" s="43">
        <f t="shared" si="61"/>
        <v>0.32076854397212684</v>
      </c>
      <c r="E993" s="43">
        <f t="shared" si="62"/>
        <v>0.12233832584023682</v>
      </c>
      <c r="F993" s="43">
        <f t="shared" si="63"/>
        <v>0.12195873994667197</v>
      </c>
    </row>
    <row r="994" spans="2:6" ht="14.4" x14ac:dyDescent="0.3">
      <c r="B994" s="36">
        <v>0.97</v>
      </c>
      <c r="C994" s="43">
        <f t="shared" si="60"/>
        <v>8656.6995038060995</v>
      </c>
      <c r="D994" s="43">
        <f t="shared" si="61"/>
        <v>0.32049980186473626</v>
      </c>
      <c r="E994" s="43">
        <f t="shared" si="62"/>
        <v>0.12212055841713938</v>
      </c>
      <c r="F994" s="43">
        <f t="shared" si="63"/>
        <v>0.12180544142035218</v>
      </c>
    </row>
    <row r="995" spans="2:6" ht="14.4" x14ac:dyDescent="0.3">
      <c r="B995" s="36">
        <v>0.97099999999999997</v>
      </c>
      <c r="C995" s="43">
        <f t="shared" si="60"/>
        <v>8654.7713344770073</v>
      </c>
      <c r="D995" s="43">
        <f t="shared" si="61"/>
        <v>0.32022596369560202</v>
      </c>
      <c r="E995" s="43">
        <f t="shared" si="62"/>
        <v>0.12189789745892998</v>
      </c>
      <c r="F995" s="43">
        <f t="shared" si="63"/>
        <v>0.12164921660750923</v>
      </c>
    </row>
    <row r="996" spans="2:6" ht="14.4" x14ac:dyDescent="0.3">
      <c r="B996" s="36">
        <v>0.97199999999999998</v>
      </c>
      <c r="C996" s="43">
        <f t="shared" si="60"/>
        <v>8652.8030979116957</v>
      </c>
      <c r="D996" s="43">
        <f t="shared" si="61"/>
        <v>0.31994673984860844</v>
      </c>
      <c r="E996" s="43">
        <f t="shared" si="62"/>
        <v>0.12167005097523012</v>
      </c>
      <c r="F996" s="43">
        <f t="shared" si="63"/>
        <v>0.12148989889666213</v>
      </c>
    </row>
    <row r="997" spans="2:6" ht="14.4" x14ac:dyDescent="0.3">
      <c r="B997" s="36">
        <v>0.97299999999999998</v>
      </c>
      <c r="C997" s="43">
        <f t="shared" si="60"/>
        <v>8650.7923980966025</v>
      </c>
      <c r="D997" s="43">
        <f t="shared" si="61"/>
        <v>0.31966181325405169</v>
      </c>
      <c r="E997" s="43">
        <f t="shared" si="62"/>
        <v>0.12143669835636867</v>
      </c>
      <c r="F997" s="43">
        <f t="shared" si="63"/>
        <v>0.12132730586234652</v>
      </c>
    </row>
    <row r="998" spans="2:6" ht="14.4" x14ac:dyDescent="0.3">
      <c r="B998" s="36">
        <v>0.97399999999999998</v>
      </c>
      <c r="C998" s="43">
        <f t="shared" si="60"/>
        <v>8648.7366007954133</v>
      </c>
      <c r="D998" s="43">
        <f t="shared" si="61"/>
        <v>0.31937083565733676</v>
      </c>
      <c r="E998" s="43">
        <f t="shared" si="62"/>
        <v>0.12119748638557186</v>
      </c>
      <c r="F998" s="43">
        <f t="shared" si="63"/>
        <v>0.1211612371137144</v>
      </c>
    </row>
    <row r="999" spans="2:6" ht="14.4" x14ac:dyDescent="0.3">
      <c r="B999" s="36">
        <v>0.97499999999999998</v>
      </c>
      <c r="C999" s="43">
        <f t="shared" si="60"/>
        <v>8646.6327996346736</v>
      </c>
      <c r="D999" s="43">
        <f t="shared" si="61"/>
        <v>0.3190734232151734</v>
      </c>
      <c r="E999" s="43">
        <f t="shared" si="62"/>
        <v>0.12095202451786985</v>
      </c>
      <c r="F999" s="43">
        <f t="shared" si="63"/>
        <v>0.1209914717550806</v>
      </c>
    </row>
    <row r="1000" spans="2:6" ht="14.4" x14ac:dyDescent="0.3">
      <c r="B1000" s="36">
        <v>0.97599999999999998</v>
      </c>
      <c r="C1000" s="43">
        <f t="shared" si="60"/>
        <v>8644.4777757870288</v>
      </c>
      <c r="D1000" s="43">
        <f t="shared" si="61"/>
        <v>0.31876915126583449</v>
      </c>
      <c r="E1000" s="43">
        <f t="shared" si="62"/>
        <v>0.12069987925556275</v>
      </c>
      <c r="F1000" s="43">
        <f t="shared" si="63"/>
        <v>0.12081776536982024</v>
      </c>
    </row>
    <row r="1001" spans="2:6" ht="14.4" x14ac:dyDescent="0.3">
      <c r="B1001" s="36">
        <v>0.97699999999999998</v>
      </c>
      <c r="C1001" s="43">
        <f t="shared" si="60"/>
        <v>8642.2679497210192</v>
      </c>
      <c r="D1001" s="43">
        <f t="shared" si="61"/>
        <v>0.31845754807705406</v>
      </c>
      <c r="E1001" s="43">
        <f t="shared" si="62"/>
        <v>0.12044056740171394</v>
      </c>
      <c r="F1001" s="43">
        <f t="shared" si="63"/>
        <v>0.12063984641418669</v>
      </c>
    </row>
    <row r="1002" spans="2:6" ht="14.4" x14ac:dyDescent="0.3">
      <c r="B1002" s="36">
        <v>0.97799999999999998</v>
      </c>
      <c r="C1002" s="43">
        <f t="shared" si="60"/>
        <v>8639.9993230363725</v>
      </c>
      <c r="D1002" s="43">
        <f t="shared" si="61"/>
        <v>0.31813808731768245</v>
      </c>
      <c r="E1002" s="43">
        <f t="shared" si="62"/>
        <v>0.12017354790825464</v>
      </c>
      <c r="F1002" s="43">
        <f t="shared" si="63"/>
        <v>0.12045741187441776</v>
      </c>
    </row>
    <row r="1003" spans="2:6" ht="14.4" x14ac:dyDescent="0.3">
      <c r="B1003" s="36">
        <v>0.97899999999999998</v>
      </c>
      <c r="C1003" s="43">
        <f t="shared" si="60"/>
        <v>8637.6674077943499</v>
      </c>
      <c r="D1003" s="43">
        <f t="shared" si="61"/>
        <v>0.31781017892150465</v>
      </c>
      <c r="E1003" s="43">
        <f t="shared" si="62"/>
        <v>0.11989821194723688</v>
      </c>
      <c r="F1003" s="43">
        <f t="shared" si="63"/>
        <v>0.12027012199559042</v>
      </c>
    </row>
    <row r="1004" spans="2:6" ht="14.4" x14ac:dyDescent="0.3">
      <c r="B1004" s="36">
        <v>0.98</v>
      </c>
      <c r="C1004" s="43">
        <f t="shared" si="60"/>
        <v>8635.2671399173632</v>
      </c>
      <c r="D1004" s="43">
        <f t="shared" si="61"/>
        <v>0.31747315790521424</v>
      </c>
      <c r="E1004" s="43">
        <f t="shared" si="62"/>
        <v>0.11961387071275956</v>
      </c>
      <c r="F1004" s="43">
        <f t="shared" si="63"/>
        <v>0.12007759382917856</v>
      </c>
    </row>
    <row r="1005" spans="2:6" ht="14.4" x14ac:dyDescent="0.3">
      <c r="B1005" s="36">
        <v>0.98099999999999998</v>
      </c>
      <c r="C1005" s="43">
        <f t="shared" si="60"/>
        <v>8632.7927720708267</v>
      </c>
      <c r="D1005" s="43">
        <f t="shared" si="61"/>
        <v>0.31712627055479492</v>
      </c>
      <c r="E1005" s="43">
        <f t="shared" si="62"/>
        <v>0.11931974029245945</v>
      </c>
      <c r="F1005" s="43">
        <f t="shared" si="63"/>
        <v>0.11987939326086669</v>
      </c>
    </row>
    <row r="1006" spans="2:6" ht="14.4" x14ac:dyDescent="0.3">
      <c r="B1006" s="36">
        <v>0.98199999999999998</v>
      </c>
      <c r="C1006" s="43">
        <f t="shared" si="60"/>
        <v>8630.2377398017561</v>
      </c>
      <c r="D1006" s="43">
        <f t="shared" si="61"/>
        <v>0.31676865718637331</v>
      </c>
      <c r="E1006" s="43">
        <f t="shared" si="62"/>
        <v>0.11901492270888599</v>
      </c>
      <c r="F1006" s="43">
        <f t="shared" si="63"/>
        <v>0.11967502505980908</v>
      </c>
    </row>
    <row r="1007" spans="2:6" ht="14.4" x14ac:dyDescent="0.3">
      <c r="B1007" s="36">
        <v>0.98299999999999998</v>
      </c>
      <c r="C1007" s="43">
        <f t="shared" si="60"/>
        <v>8627.5944923585666</v>
      </c>
      <c r="D1007" s="43">
        <f t="shared" si="61"/>
        <v>0.31639933038939339</v>
      </c>
      <c r="E1007" s="43">
        <f t="shared" si="62"/>
        <v>0.11869838188792733</v>
      </c>
      <c r="F1007" s="43">
        <f t="shared" si="63"/>
        <v>0.1194639203180843</v>
      </c>
    </row>
    <row r="1008" spans="2:6" ht="14.4" x14ac:dyDescent="0.3">
      <c r="B1008" s="36">
        <v>0.98399999999999999</v>
      </c>
      <c r="C1008" s="43">
        <f t="shared" si="60"/>
        <v>8624.8542761839799</v>
      </c>
      <c r="D1008" s="43">
        <f t="shared" si="61"/>
        <v>0.31601714722501906</v>
      </c>
      <c r="E1008" s="43">
        <f t="shared" si="62"/>
        <v>0.11836891280879029</v>
      </c>
      <c r="F1008" s="43">
        <f t="shared" si="63"/>
        <v>0.11924542039755189</v>
      </c>
    </row>
    <row r="1009" spans="2:6" ht="14.4" x14ac:dyDescent="0.3">
      <c r="B1009" s="36">
        <v>0.98499999999999999</v>
      </c>
      <c r="C1009" s="43">
        <f t="shared" si="60"/>
        <v>8622.0068539582371</v>
      </c>
      <c r="D1009" s="43">
        <f t="shared" si="61"/>
        <v>0.31562077320552517</v>
      </c>
      <c r="E1009" s="43">
        <f t="shared" si="62"/>
        <v>0.11802510133868513</v>
      </c>
      <c r="F1009" s="43">
        <f t="shared" si="63"/>
        <v>0.11901875612698073</v>
      </c>
    </row>
    <row r="1010" spans="2:6" ht="14.4" x14ac:dyDescent="0.3">
      <c r="B1010" s="36">
        <v>0.98599999999999999</v>
      </c>
      <c r="C1010" s="43">
        <f t="shared" si="60"/>
        <v>8619.0401342759596</v>
      </c>
      <c r="D1010" s="43">
        <f t="shared" si="61"/>
        <v>0.31520863489589585</v>
      </c>
      <c r="E1010" s="43">
        <f t="shared" si="62"/>
        <v>0.11766527110673565</v>
      </c>
      <c r="F1010" s="43">
        <f t="shared" si="63"/>
        <v>0.11878302042271281</v>
      </c>
    </row>
    <row r="1011" spans="2:6" ht="14.4" x14ac:dyDescent="0.3">
      <c r="B1011" s="36">
        <v>0.98699999999999999</v>
      </c>
      <c r="C1011" s="43">
        <f t="shared" si="60"/>
        <v>8615.9396748634845</v>
      </c>
      <c r="D1011" s="43">
        <f t="shared" si="61"/>
        <v>0.31477885644322512</v>
      </c>
      <c r="E1011" s="43">
        <f t="shared" si="62"/>
        <v>0.11728741197080925</v>
      </c>
      <c r="F1011" s="43">
        <f t="shared" si="63"/>
        <v>0.11853713161751041</v>
      </c>
    </row>
    <row r="1012" spans="2:6" ht="14.4" x14ac:dyDescent="0.3">
      <c r="B1012" s="36">
        <v>0.98799999999999999</v>
      </c>
      <c r="C1012" s="43">
        <f t="shared" si="60"/>
        <v>8612.6880026738054</v>
      </c>
      <c r="D1012" s="43">
        <f t="shared" si="61"/>
        <v>0.31432917287598167</v>
      </c>
      <c r="E1012" s="43">
        <f t="shared" si="62"/>
        <v>0.11688908172605872</v>
      </c>
      <c r="F1012" s="43">
        <f t="shared" si="63"/>
        <v>0.11827978335636438</v>
      </c>
    </row>
    <row r="1013" spans="2:6" ht="14.4" x14ac:dyDescent="0.3">
      <c r="B1013" s="36">
        <v>0.98899999999999999</v>
      </c>
      <c r="C1013" s="43">
        <f t="shared" si="60"/>
        <v>8609.2636617173048</v>
      </c>
      <c r="D1013" s="43">
        <f t="shared" si="61"/>
        <v>0.31385680893439671</v>
      </c>
      <c r="E1013" s="43">
        <f t="shared" si="62"/>
        <v>0.1164672678636216</v>
      </c>
      <c r="F1013" s="43">
        <f t="shared" si="63"/>
        <v>0.11800937455556505</v>
      </c>
    </row>
    <row r="1014" spans="2:6" ht="14.4" x14ac:dyDescent="0.3">
      <c r="B1014" s="36">
        <v>0.99</v>
      </c>
      <c r="C1014" s="43">
        <f t="shared" si="60"/>
        <v>8605.6398435507745</v>
      </c>
      <c r="D1014" s="43">
        <f t="shared" si="61"/>
        <v>0.31335830517980634</v>
      </c>
      <c r="E1014" s="43">
        <f t="shared" si="62"/>
        <v>0.11601818781617507</v>
      </c>
      <c r="F1014" s="43">
        <f t="shared" si="63"/>
        <v>0.1177239088600868</v>
      </c>
    </row>
    <row r="1015" spans="2:6" ht="14.4" x14ac:dyDescent="0.3">
      <c r="B1015" s="36">
        <v>0.99099999999999999</v>
      </c>
      <c r="C1015" s="43">
        <f t="shared" si="60"/>
        <v>8601.7823547808239</v>
      </c>
      <c r="D1015" s="43">
        <f t="shared" si="61"/>
        <v>0.31282926054970045</v>
      </c>
      <c r="E1015" s="43">
        <f t="shared" si="62"/>
        <v>0.11553699100568281</v>
      </c>
      <c r="F1015" s="43">
        <f t="shared" si="63"/>
        <v>0.11742084574707916</v>
      </c>
    </row>
    <row r="1016" spans="2:6" ht="14.4" x14ac:dyDescent="0.3">
      <c r="B1016" s="36">
        <v>0.99199999999999999</v>
      </c>
      <c r="C1016" s="43">
        <f t="shared" si="60"/>
        <v>8597.6464857262145</v>
      </c>
      <c r="D1016" s="43">
        <f t="shared" si="61"/>
        <v>0.31226393678781256</v>
      </c>
      <c r="E1016" s="43">
        <f t="shared" si="62"/>
        <v>0.1150172972630483</v>
      </c>
      <c r="F1016" s="43">
        <f t="shared" si="63"/>
        <v>0.11709687166993397</v>
      </c>
    </row>
    <row r="1017" spans="2:6" ht="14.4" x14ac:dyDescent="0.3">
      <c r="B1017" s="36">
        <v>0.99299999999999999</v>
      </c>
      <c r="C1017" s="43">
        <f t="shared" si="60"/>
        <v>8593.1719620776221</v>
      </c>
      <c r="D1017" s="43">
        <f t="shared" si="61"/>
        <v>0.3116546225982279</v>
      </c>
      <c r="E1017" s="43">
        <f t="shared" si="62"/>
        <v>0.11445044809020496</v>
      </c>
      <c r="F1017" s="43">
        <f t="shared" si="63"/>
        <v>0.11674753206065251</v>
      </c>
    </row>
    <row r="1018" spans="2:6" ht="14.4" x14ac:dyDescent="0.3">
      <c r="B1018" s="36">
        <v>0.99399999999999999</v>
      </c>
      <c r="C1018" s="43">
        <f t="shared" si="60"/>
        <v>8588.2743336927306</v>
      </c>
      <c r="D1018" s="43">
        <f t="shared" si="61"/>
        <v>0.31099055267262016</v>
      </c>
      <c r="E1018" s="43">
        <f t="shared" si="62"/>
        <v>0.11382422066213381</v>
      </c>
      <c r="F1018" s="43">
        <f t="shared" si="63"/>
        <v>0.11636660546352189</v>
      </c>
    </row>
    <row r="1019" spans="2:6" ht="14.4" x14ac:dyDescent="0.3">
      <c r="B1019" s="36">
        <v>0.995</v>
      </c>
      <c r="C1019" s="43">
        <f t="shared" si="60"/>
        <v>8582.8291872014761</v>
      </c>
      <c r="D1019" s="43">
        <f t="shared" si="61"/>
        <v>0.31025593346240199</v>
      </c>
      <c r="E1019" s="43">
        <f t="shared" si="62"/>
        <v>0.1131204514590429</v>
      </c>
      <c r="F1019" s="43">
        <f t="shared" si="63"/>
        <v>0.11594495996411559</v>
      </c>
    </row>
    <row r="1020" spans="2:6" ht="14.4" x14ac:dyDescent="0.3">
      <c r="B1020" s="36">
        <v>0.996</v>
      </c>
      <c r="C1020" s="43">
        <f t="shared" si="60"/>
        <v>8576.6402871987611</v>
      </c>
      <c r="D1020" s="43">
        <f t="shared" si="61"/>
        <v>0.30942597708450859</v>
      </c>
      <c r="E1020" s="43">
        <f t="shared" si="62"/>
        <v>0.11231019622116928</v>
      </c>
      <c r="F1020" s="43">
        <f t="shared" si="63"/>
        <v>0.11546825459369914</v>
      </c>
    </row>
    <row r="1021" spans="2:6" ht="14.4" x14ac:dyDescent="0.3">
      <c r="B1021" s="36">
        <v>0.997</v>
      </c>
      <c r="C1021" s="43">
        <f t="shared" si="60"/>
        <v>8569.3659935051073</v>
      </c>
      <c r="D1021" s="43">
        <f t="shared" si="61"/>
        <v>0.30845779104636545</v>
      </c>
      <c r="E1021" s="43">
        <f t="shared" si="62"/>
        <v>0.11134242474498005</v>
      </c>
      <c r="F1021" s="43">
        <f t="shared" si="63"/>
        <v>0.11491165590368646</v>
      </c>
    </row>
    <row r="1022" spans="2:6" ht="14.4" x14ac:dyDescent="0.3">
      <c r="B1022" s="36">
        <v>0.998</v>
      </c>
      <c r="C1022" s="43">
        <f t="shared" si="60"/>
        <v>8560.3100849572365</v>
      </c>
      <c r="D1022" s="43">
        <f t="shared" si="61"/>
        <v>0.30726466323033419</v>
      </c>
      <c r="E1022" s="43">
        <f t="shared" si="62"/>
        <v>0.11011141236238874</v>
      </c>
      <c r="F1022" s="43">
        <f t="shared" si="63"/>
        <v>0.11422491209550736</v>
      </c>
    </row>
    <row r="1023" spans="2:6" ht="14.4" x14ac:dyDescent="0.3">
      <c r="B1023" s="36">
        <v>0.999</v>
      </c>
      <c r="C1023" s="43">
        <f t="shared" si="60"/>
        <v>8547.5518981754576</v>
      </c>
      <c r="D1023" s="43">
        <f t="shared" si="61"/>
        <v>0.30561024787233382</v>
      </c>
      <c r="E1023" s="43">
        <f t="shared" si="62"/>
        <v>0.10831817587793192</v>
      </c>
      <c r="F1023" s="43">
        <f t="shared" si="63"/>
        <v>0.11327085737096987</v>
      </c>
    </row>
    <row r="1024" spans="2:6" x14ac:dyDescent="0.25">
      <c r="C1024" s="41"/>
      <c r="D1024" s="41"/>
      <c r="E1024" s="41"/>
      <c r="F1024" s="41"/>
    </row>
    <row r="1025" spans="3:6" x14ac:dyDescent="0.25">
      <c r="C1025" s="41"/>
      <c r="D1025" s="41"/>
      <c r="E1025" s="41"/>
      <c r="F1025" s="41"/>
    </row>
    <row r="1026" spans="3:6" x14ac:dyDescent="0.25">
      <c r="C1026" s="41"/>
      <c r="D1026" s="41"/>
      <c r="E1026" s="41"/>
      <c r="F1026" s="41"/>
    </row>
    <row r="1027" spans="3:6" x14ac:dyDescent="0.25">
      <c r="C1027" s="41"/>
      <c r="D1027" s="41"/>
      <c r="E1027" s="41"/>
      <c r="F1027" s="41"/>
    </row>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ul4"/>
  <dimension ref="A1:X114"/>
  <sheetViews>
    <sheetView zoomScaleNormal="100" workbookViewId="0">
      <selection activeCell="A2" sqref="A2"/>
    </sheetView>
  </sheetViews>
  <sheetFormatPr defaultRowHeight="13.2" x14ac:dyDescent="0.25"/>
  <cols>
    <col min="1" max="1" width="43.88671875" customWidth="1"/>
    <col min="2" max="4" width="12.6640625" customWidth="1"/>
    <col min="5" max="5" width="20.33203125" style="79" customWidth="1"/>
    <col min="6" max="6" width="29.5546875" customWidth="1"/>
    <col min="7" max="8" width="12.6640625" customWidth="1"/>
  </cols>
  <sheetData>
    <row r="1" spans="1:8" ht="12.9" customHeight="1" x14ac:dyDescent="0.25">
      <c r="A1" s="96" t="s">
        <v>175</v>
      </c>
      <c r="B1" s="96"/>
      <c r="C1" s="97"/>
      <c r="D1" s="97"/>
      <c r="E1" s="98"/>
      <c r="F1" s="97"/>
      <c r="G1" s="97"/>
      <c r="H1" s="97"/>
    </row>
    <row r="2" spans="1:8" ht="12.9" customHeight="1" x14ac:dyDescent="0.25">
      <c r="A2" s="220"/>
      <c r="B2" s="97"/>
      <c r="C2" s="97"/>
      <c r="D2" s="97"/>
      <c r="E2" s="98"/>
      <c r="F2" s="97"/>
      <c r="G2" s="97"/>
      <c r="H2" s="97"/>
    </row>
    <row r="3" spans="1:8" ht="12.9" customHeight="1" x14ac:dyDescent="0.25">
      <c r="A3" s="96" t="s">
        <v>15</v>
      </c>
      <c r="B3" s="96"/>
      <c r="C3" s="97"/>
      <c r="D3" s="97"/>
      <c r="E3" s="98"/>
      <c r="G3" s="97"/>
      <c r="H3" s="97"/>
    </row>
    <row r="4" spans="1:8" ht="12.9" customHeight="1" x14ac:dyDescent="0.25">
      <c r="A4" s="97" t="s">
        <v>16</v>
      </c>
      <c r="B4" s="97"/>
      <c r="C4" s="97"/>
      <c r="D4" s="97"/>
      <c r="E4" s="98"/>
      <c r="G4" s="97"/>
      <c r="H4" s="97"/>
    </row>
    <row r="5" spans="1:8" ht="12.9" customHeight="1" x14ac:dyDescent="0.25">
      <c r="A5" s="97"/>
      <c r="B5" s="97"/>
      <c r="C5" s="97"/>
      <c r="D5" s="97"/>
      <c r="E5" s="98"/>
      <c r="F5" s="97"/>
      <c r="G5" s="97"/>
      <c r="H5" s="97"/>
    </row>
    <row r="6" spans="1:8" ht="12.9" customHeight="1" x14ac:dyDescent="0.3">
      <c r="A6" s="99" t="s">
        <v>201</v>
      </c>
      <c r="B6" s="202">
        <v>0.35</v>
      </c>
      <c r="C6" s="99"/>
      <c r="D6" s="97" t="s">
        <v>242</v>
      </c>
      <c r="E6" s="98"/>
      <c r="F6" s="97"/>
      <c r="G6" s="97"/>
      <c r="H6" s="97"/>
    </row>
    <row r="7" spans="1:8" ht="12.9" customHeight="1" x14ac:dyDescent="0.25">
      <c r="A7" s="97"/>
      <c r="B7" s="100"/>
      <c r="C7" s="98"/>
      <c r="D7" s="98"/>
      <c r="E7" s="98"/>
      <c r="F7" s="97"/>
      <c r="G7" s="97"/>
      <c r="H7" s="97"/>
    </row>
    <row r="8" spans="1:8" ht="12.9" customHeight="1" x14ac:dyDescent="0.25">
      <c r="A8" s="96" t="s">
        <v>135</v>
      </c>
      <c r="B8" s="96"/>
      <c r="C8" s="97"/>
      <c r="D8" s="97"/>
      <c r="E8" s="98"/>
      <c r="F8" s="97"/>
      <c r="G8" s="97"/>
      <c r="H8" s="97"/>
    </row>
    <row r="9" spans="1:8" ht="12.9" customHeight="1" x14ac:dyDescent="0.25">
      <c r="A9" s="97"/>
      <c r="B9" s="100"/>
      <c r="C9" s="101" t="s">
        <v>144</v>
      </c>
      <c r="D9" s="310" t="s">
        <v>82</v>
      </c>
      <c r="E9" s="310"/>
      <c r="F9" s="102" t="s">
        <v>145</v>
      </c>
      <c r="G9" s="97"/>
      <c r="H9" s="97"/>
    </row>
    <row r="10" spans="1:8" ht="12.9" customHeight="1" x14ac:dyDescent="0.25">
      <c r="A10" s="96"/>
      <c r="B10" s="96"/>
      <c r="C10" s="103"/>
      <c r="D10" s="103" t="s">
        <v>58</v>
      </c>
      <c r="E10" s="103" t="s">
        <v>133</v>
      </c>
      <c r="F10" s="103"/>
      <c r="G10" s="97"/>
      <c r="H10" s="97"/>
    </row>
    <row r="11" spans="1:8" ht="12.9" customHeight="1" x14ac:dyDescent="0.3">
      <c r="A11" s="97" t="s">
        <v>17</v>
      </c>
      <c r="B11" s="97"/>
      <c r="C11" s="201">
        <v>142</v>
      </c>
      <c r="D11" s="201">
        <v>13000</v>
      </c>
      <c r="E11" s="104" t="s">
        <v>134</v>
      </c>
      <c r="F11" s="97" t="s">
        <v>132</v>
      </c>
      <c r="G11" s="97"/>
      <c r="H11" s="97"/>
    </row>
    <row r="12" spans="1:8" ht="12.9" customHeight="1" x14ac:dyDescent="0.25">
      <c r="A12" s="97"/>
      <c r="B12" s="97"/>
      <c r="C12" s="100"/>
      <c r="D12" s="97"/>
      <c r="E12" s="98"/>
      <c r="F12" s="97"/>
      <c r="G12" s="97"/>
      <c r="H12" s="100"/>
    </row>
    <row r="13" spans="1:8" ht="12.9" customHeight="1" x14ac:dyDescent="0.25">
      <c r="A13" s="97"/>
      <c r="B13" s="99" t="s">
        <v>157</v>
      </c>
      <c r="C13" s="99" t="s">
        <v>166</v>
      </c>
      <c r="D13" s="99" t="s">
        <v>158</v>
      </c>
      <c r="E13" s="98"/>
      <c r="F13" s="97"/>
      <c r="G13" s="97"/>
      <c r="H13" s="97"/>
    </row>
    <row r="14" spans="1:8" ht="12.9" customHeight="1" x14ac:dyDescent="0.3">
      <c r="A14" s="99" t="s">
        <v>232</v>
      </c>
      <c r="B14" s="203">
        <v>0.3</v>
      </c>
      <c r="C14" s="203">
        <v>0.37</v>
      </c>
      <c r="D14" s="203">
        <v>0.46</v>
      </c>
      <c r="E14" s="104" t="s">
        <v>78</v>
      </c>
      <c r="F14" s="99" t="s">
        <v>220</v>
      </c>
      <c r="G14" s="97"/>
      <c r="H14" s="97"/>
    </row>
    <row r="15" spans="1:8" ht="12.9" customHeight="1" x14ac:dyDescent="0.25">
      <c r="A15" s="97"/>
      <c r="B15" s="97"/>
      <c r="C15" s="97"/>
      <c r="D15" s="97"/>
      <c r="E15" s="98"/>
      <c r="F15" s="97"/>
      <c r="G15" s="97"/>
      <c r="H15" s="97"/>
    </row>
    <row r="16" spans="1:8" ht="12.9" customHeight="1" x14ac:dyDescent="0.25">
      <c r="A16" s="97"/>
      <c r="B16" s="99" t="s">
        <v>157</v>
      </c>
      <c r="C16" s="99" t="s">
        <v>166</v>
      </c>
      <c r="D16" s="99" t="s">
        <v>158</v>
      </c>
      <c r="E16" s="98"/>
      <c r="F16" s="97"/>
      <c r="G16" s="97"/>
      <c r="H16" s="97"/>
    </row>
    <row r="17" spans="1:24" ht="12.9" customHeight="1" x14ac:dyDescent="0.3">
      <c r="A17" s="99" t="s">
        <v>235</v>
      </c>
      <c r="B17" s="204">
        <v>8500</v>
      </c>
      <c r="C17" s="204">
        <v>9000</v>
      </c>
      <c r="D17" s="204">
        <v>9500</v>
      </c>
      <c r="E17" s="104" t="s">
        <v>243</v>
      </c>
      <c r="F17" s="99" t="s">
        <v>233</v>
      </c>
      <c r="G17" s="97"/>
      <c r="H17" s="97"/>
    </row>
    <row r="18" spans="1:24" ht="12.9" customHeight="1" x14ac:dyDescent="0.25">
      <c r="A18" s="105" t="s">
        <v>178</v>
      </c>
      <c r="B18" s="105"/>
      <c r="C18" s="97"/>
      <c r="D18" s="97"/>
      <c r="E18" s="98"/>
      <c r="F18" s="97"/>
      <c r="G18" s="97"/>
      <c r="H18" s="97"/>
    </row>
    <row r="19" spans="1:24" ht="12.9" customHeight="1" x14ac:dyDescent="0.3">
      <c r="A19" s="105" t="s">
        <v>22</v>
      </c>
      <c r="B19" s="105"/>
      <c r="C19" s="201">
        <v>4.3</v>
      </c>
      <c r="D19" s="97"/>
      <c r="E19" s="106"/>
      <c r="F19" s="97"/>
      <c r="G19" s="97"/>
      <c r="H19" s="97"/>
    </row>
    <row r="20" spans="1:24" ht="12.9" customHeight="1" x14ac:dyDescent="0.3">
      <c r="A20" s="105" t="s">
        <v>23</v>
      </c>
      <c r="B20" s="105"/>
      <c r="C20" s="201">
        <v>3.3</v>
      </c>
      <c r="D20" s="97"/>
      <c r="E20" s="98"/>
      <c r="F20" s="97"/>
      <c r="G20" s="97"/>
      <c r="H20" s="97"/>
    </row>
    <row r="21" spans="1:24" ht="12.9" customHeight="1" x14ac:dyDescent="0.25">
      <c r="A21" s="105" t="s">
        <v>130</v>
      </c>
      <c r="B21" s="105"/>
      <c r="C21" s="107">
        <f>(Lähtötiedot!$C$17*(383*Lähtötiedot!$C$19+242*Lähtötiedot!$C$20+783.2)/3140/C34)*1.03</f>
        <v>30.630201213638429</v>
      </c>
      <c r="D21" s="97"/>
      <c r="E21" s="108"/>
      <c r="F21" s="109"/>
      <c r="G21" s="109"/>
      <c r="H21" s="109"/>
    </row>
    <row r="22" spans="1:24" x14ac:dyDescent="0.25">
      <c r="A22" s="97"/>
      <c r="B22" s="97"/>
      <c r="C22" s="97"/>
      <c r="D22" s="97"/>
      <c r="E22" s="98"/>
      <c r="F22" s="294"/>
      <c r="G22" s="294"/>
      <c r="H22" s="294"/>
    </row>
    <row r="23" spans="1:24" ht="14.4" x14ac:dyDescent="0.3">
      <c r="A23" s="99" t="s">
        <v>137</v>
      </c>
      <c r="B23" s="99"/>
      <c r="C23" s="97"/>
      <c r="D23" s="201">
        <v>2.2200000000000002</v>
      </c>
      <c r="E23" s="104" t="s">
        <v>86</v>
      </c>
      <c r="F23" s="99" t="s">
        <v>139</v>
      </c>
      <c r="G23" s="97"/>
      <c r="H23" s="97"/>
    </row>
    <row r="24" spans="1:24" ht="14.4" x14ac:dyDescent="0.3">
      <c r="A24" s="99" t="s">
        <v>142</v>
      </c>
      <c r="B24" s="99"/>
      <c r="C24" s="97"/>
      <c r="D24" s="201">
        <v>105</v>
      </c>
      <c r="E24" s="104" t="s">
        <v>141</v>
      </c>
      <c r="F24" s="99" t="s">
        <v>176</v>
      </c>
      <c r="G24" s="97"/>
      <c r="H24" s="97"/>
    </row>
    <row r="25" spans="1:24" ht="14.4" x14ac:dyDescent="0.3">
      <c r="A25" s="99" t="s">
        <v>140</v>
      </c>
      <c r="B25" s="99"/>
      <c r="C25" s="97"/>
      <c r="D25" s="201">
        <v>170</v>
      </c>
      <c r="E25" s="104" t="s">
        <v>141</v>
      </c>
      <c r="F25" s="99" t="s">
        <v>177</v>
      </c>
      <c r="G25" s="97"/>
      <c r="H25" s="97"/>
    </row>
    <row r="26" spans="1:24" x14ac:dyDescent="0.25">
      <c r="A26" s="97"/>
      <c r="B26" s="97"/>
      <c r="C26" s="97"/>
      <c r="E26" s="98"/>
      <c r="F26" s="97"/>
      <c r="G26" s="97"/>
      <c r="H26" s="97"/>
    </row>
    <row r="27" spans="1:24" ht="12.9" customHeight="1" x14ac:dyDescent="0.3">
      <c r="A27" s="97" t="s">
        <v>18</v>
      </c>
      <c r="B27" s="97"/>
      <c r="C27" s="201">
        <v>0</v>
      </c>
      <c r="D27" s="201">
        <v>420</v>
      </c>
      <c r="E27" s="104" t="s">
        <v>136</v>
      </c>
      <c r="F27" s="99" t="s">
        <v>138</v>
      </c>
      <c r="G27" s="97"/>
      <c r="H27" s="97"/>
    </row>
    <row r="28" spans="1:24" ht="12.9" customHeight="1" x14ac:dyDescent="0.3">
      <c r="A28" s="99" t="s">
        <v>179</v>
      </c>
      <c r="B28" s="99"/>
      <c r="C28" s="97"/>
      <c r="D28" s="201">
        <v>0</v>
      </c>
      <c r="E28" s="98" t="s">
        <v>173</v>
      </c>
      <c r="F28" s="97"/>
      <c r="G28" s="97"/>
      <c r="H28" s="97"/>
    </row>
    <row r="29" spans="1:24" s="97" customFormat="1" ht="12.9" customHeight="1" x14ac:dyDescent="0.3">
      <c r="A29" s="99"/>
      <c r="B29" s="99"/>
      <c r="D29" s="228"/>
      <c r="E29" s="98"/>
    </row>
    <row r="30" spans="1:24" s="97" customFormat="1" ht="12.9" customHeight="1" x14ac:dyDescent="0.25">
      <c r="A30" s="97" t="s">
        <v>174</v>
      </c>
      <c r="E30" s="98"/>
    </row>
    <row r="31" spans="1:24" ht="12.9" customHeight="1" x14ac:dyDescent="0.3">
      <c r="A31" s="105" t="s">
        <v>180</v>
      </c>
      <c r="B31" s="97"/>
      <c r="C31" s="99"/>
      <c r="D31" s="201">
        <v>0</v>
      </c>
      <c r="E31" s="104" t="s">
        <v>173</v>
      </c>
      <c r="F31" s="97"/>
      <c r="G31" s="97"/>
      <c r="H31" s="97"/>
      <c r="I31" s="97"/>
      <c r="J31" s="97"/>
      <c r="K31" s="97"/>
      <c r="L31" s="227"/>
      <c r="M31" s="227"/>
      <c r="N31" s="227"/>
      <c r="O31" s="227"/>
      <c r="P31" s="227"/>
      <c r="Q31" s="227"/>
      <c r="R31" s="227"/>
      <c r="S31" s="227"/>
      <c r="T31" s="227"/>
      <c r="U31" s="227"/>
      <c r="V31" s="227"/>
      <c r="W31" s="227"/>
      <c r="X31" s="227"/>
    </row>
    <row r="32" spans="1:24" s="97" customFormat="1" ht="12.9" customHeight="1" x14ac:dyDescent="0.25">
      <c r="A32" s="99"/>
      <c r="B32" s="99"/>
      <c r="E32" s="98"/>
    </row>
    <row r="33" spans="1:8" ht="12.9" customHeight="1" x14ac:dyDescent="0.3">
      <c r="A33" s="99" t="s">
        <v>21</v>
      </c>
      <c r="B33" s="99"/>
      <c r="C33" s="201">
        <v>407</v>
      </c>
      <c r="D33" s="97"/>
      <c r="E33" s="98"/>
      <c r="F33" s="97"/>
      <c r="G33" s="97"/>
      <c r="H33" s="97"/>
    </row>
    <row r="34" spans="1:8" ht="12.9" customHeight="1" x14ac:dyDescent="0.25">
      <c r="A34" s="99" t="s">
        <v>61</v>
      </c>
      <c r="B34" s="99"/>
      <c r="C34" s="110">
        <f>((C33-60)/C33)*365</f>
        <v>311.19164619164621</v>
      </c>
      <c r="D34" s="111"/>
      <c r="E34" s="98"/>
      <c r="F34" s="97"/>
      <c r="H34" s="97"/>
    </row>
    <row r="35" spans="1:8" ht="12.9" customHeight="1" x14ac:dyDescent="0.3">
      <c r="A35" s="99" t="s">
        <v>24</v>
      </c>
      <c r="B35" s="99"/>
      <c r="C35" s="201">
        <v>32</v>
      </c>
      <c r="D35" s="97"/>
      <c r="E35" s="98"/>
      <c r="F35" s="97"/>
      <c r="H35" s="97"/>
    </row>
    <row r="36" spans="1:8" ht="12.9" customHeight="1" x14ac:dyDescent="0.3">
      <c r="A36" s="99" t="s">
        <v>53</v>
      </c>
      <c r="B36" s="99"/>
      <c r="C36" s="201">
        <v>8</v>
      </c>
      <c r="D36" s="97"/>
      <c r="E36" s="98"/>
      <c r="F36" s="97" t="s">
        <v>244</v>
      </c>
      <c r="H36" s="97"/>
    </row>
    <row r="37" spans="1:8" ht="12.9" customHeight="1" x14ac:dyDescent="0.3">
      <c r="A37" s="99" t="s">
        <v>20</v>
      </c>
      <c r="B37" s="99"/>
      <c r="C37" s="201">
        <v>779</v>
      </c>
      <c r="D37" s="97"/>
      <c r="E37" s="98"/>
      <c r="F37" s="295">
        <f>C37/(365/12)</f>
        <v>25.610958904109587</v>
      </c>
      <c r="H37" s="97"/>
    </row>
    <row r="38" spans="1:8" ht="12.9" customHeight="1" x14ac:dyDescent="0.3">
      <c r="A38" s="99" t="s">
        <v>55</v>
      </c>
      <c r="B38" s="99"/>
      <c r="C38" s="201">
        <v>1.9</v>
      </c>
      <c r="D38" s="201">
        <v>48</v>
      </c>
      <c r="E38" s="104" t="s">
        <v>143</v>
      </c>
      <c r="F38" s="97"/>
      <c r="G38" s="223"/>
      <c r="H38" s="97"/>
    </row>
    <row r="39" spans="1:8" ht="12.9" customHeight="1" x14ac:dyDescent="0.25">
      <c r="A39" s="99"/>
      <c r="B39" s="99"/>
      <c r="C39" s="97"/>
      <c r="D39" s="97"/>
      <c r="E39" s="98"/>
      <c r="G39" s="97"/>
      <c r="H39" s="97"/>
    </row>
    <row r="40" spans="1:8" ht="12.9" customHeight="1" x14ac:dyDescent="0.25">
      <c r="A40" s="99" t="s">
        <v>7</v>
      </c>
      <c r="B40" s="97"/>
      <c r="C40" s="97"/>
      <c r="D40" s="97"/>
      <c r="E40" s="98"/>
      <c r="F40" s="97"/>
      <c r="G40" s="97"/>
      <c r="H40" s="97"/>
    </row>
    <row r="41" spans="1:8" ht="12.9" customHeight="1" x14ac:dyDescent="0.3">
      <c r="A41" s="105" t="s">
        <v>186</v>
      </c>
      <c r="B41" s="97"/>
      <c r="C41" s="201">
        <v>10</v>
      </c>
      <c r="D41" s="201">
        <v>150</v>
      </c>
      <c r="E41" s="104" t="s">
        <v>141</v>
      </c>
      <c r="F41" s="97"/>
      <c r="G41" s="97"/>
      <c r="H41" s="97"/>
    </row>
    <row r="42" spans="1:8" ht="12.9" customHeight="1" x14ac:dyDescent="0.3">
      <c r="A42" s="105" t="s">
        <v>187</v>
      </c>
      <c r="B42" s="97"/>
      <c r="C42" s="201">
        <v>15</v>
      </c>
      <c r="D42" s="201">
        <v>1500</v>
      </c>
      <c r="E42" s="104" t="s">
        <v>146</v>
      </c>
      <c r="F42" s="97"/>
      <c r="G42" s="97"/>
      <c r="H42" s="97"/>
    </row>
    <row r="43" spans="1:8" ht="12.9" customHeight="1" x14ac:dyDescent="0.3">
      <c r="A43" s="105" t="s">
        <v>188</v>
      </c>
      <c r="B43" s="97"/>
      <c r="C43" s="201">
        <v>5</v>
      </c>
      <c r="D43" s="201">
        <v>2000</v>
      </c>
      <c r="E43" s="104" t="s">
        <v>26</v>
      </c>
      <c r="F43" s="97"/>
      <c r="G43" s="97"/>
      <c r="H43" s="97"/>
    </row>
    <row r="44" spans="1:8" ht="12.9" customHeight="1" x14ac:dyDescent="0.25">
      <c r="A44" s="97"/>
      <c r="B44" s="97"/>
      <c r="C44" s="97"/>
      <c r="D44" s="97"/>
      <c r="E44" s="98"/>
      <c r="F44" s="97"/>
      <c r="G44" s="97"/>
      <c r="H44" s="97"/>
    </row>
    <row r="45" spans="1:8" ht="12.9" customHeight="1" x14ac:dyDescent="0.3">
      <c r="A45" s="97" t="s">
        <v>5</v>
      </c>
      <c r="B45" s="97"/>
      <c r="C45" s="97"/>
      <c r="D45" s="201">
        <v>50</v>
      </c>
      <c r="E45" s="98" t="s">
        <v>181</v>
      </c>
      <c r="F45" s="97"/>
      <c r="G45" s="97"/>
      <c r="H45" s="97"/>
    </row>
    <row r="46" spans="1:8" ht="12.9" customHeight="1" x14ac:dyDescent="0.3">
      <c r="A46" s="97" t="s">
        <v>182</v>
      </c>
      <c r="B46" s="97"/>
      <c r="C46" s="97"/>
      <c r="D46" s="201">
        <v>350</v>
      </c>
      <c r="E46" s="98" t="s">
        <v>181</v>
      </c>
      <c r="F46" s="97" t="s">
        <v>236</v>
      </c>
      <c r="G46" s="97"/>
      <c r="H46" s="97"/>
    </row>
    <row r="47" spans="1:8" ht="12.9" customHeight="1" x14ac:dyDescent="0.3">
      <c r="A47" s="99" t="s">
        <v>147</v>
      </c>
      <c r="B47" s="99"/>
      <c r="C47" s="97"/>
      <c r="D47" s="205">
        <v>2.2000000000000002</v>
      </c>
      <c r="E47" s="98" t="s">
        <v>60</v>
      </c>
      <c r="F47" s="97"/>
      <c r="G47" s="97"/>
      <c r="H47" s="97"/>
    </row>
    <row r="48" spans="1:8" ht="12.9" customHeight="1" x14ac:dyDescent="0.25">
      <c r="A48" s="97"/>
      <c r="B48" s="97"/>
      <c r="C48" s="97"/>
      <c r="D48" s="97"/>
      <c r="E48" s="98"/>
      <c r="F48" s="97"/>
      <c r="G48" s="97"/>
      <c r="H48" s="97"/>
    </row>
    <row r="49" spans="1:8" ht="12.9" customHeight="1" x14ac:dyDescent="0.25">
      <c r="A49" s="99" t="s">
        <v>185</v>
      </c>
      <c r="B49" s="99" t="s">
        <v>157</v>
      </c>
      <c r="C49" s="99" t="s">
        <v>166</v>
      </c>
      <c r="D49" s="99" t="s">
        <v>158</v>
      </c>
      <c r="E49" s="98"/>
      <c r="F49" s="99"/>
      <c r="G49" s="97"/>
      <c r="H49" s="97"/>
    </row>
    <row r="50" spans="1:8" ht="12.9" customHeight="1" x14ac:dyDescent="0.3">
      <c r="A50" s="105" t="s">
        <v>189</v>
      </c>
      <c r="B50" s="203">
        <v>0.11</v>
      </c>
      <c r="C50" s="203">
        <v>0.15</v>
      </c>
      <c r="D50" s="203">
        <v>0.2</v>
      </c>
      <c r="E50" s="104" t="s">
        <v>85</v>
      </c>
      <c r="F50" s="105" t="s">
        <v>172</v>
      </c>
      <c r="G50" s="112"/>
      <c r="H50" s="113"/>
    </row>
    <row r="51" spans="1:8" ht="12.9" customHeight="1" x14ac:dyDescent="0.3">
      <c r="A51" s="105" t="s">
        <v>190</v>
      </c>
      <c r="B51" s="203">
        <v>0.1</v>
      </c>
      <c r="C51" s="203">
        <v>0.16</v>
      </c>
      <c r="D51" s="203">
        <v>0.19</v>
      </c>
      <c r="E51" s="104" t="s">
        <v>85</v>
      </c>
      <c r="F51" s="104" t="s">
        <v>207</v>
      </c>
      <c r="G51" s="114"/>
      <c r="H51" s="113"/>
    </row>
    <row r="52" spans="1:8" ht="12.9" customHeight="1" x14ac:dyDescent="0.3">
      <c r="A52" s="105" t="s">
        <v>191</v>
      </c>
      <c r="B52" s="105"/>
      <c r="C52" s="115">
        <f>C51*F52</f>
        <v>0.21600000000000003</v>
      </c>
      <c r="D52" s="97"/>
      <c r="E52" s="104" t="s">
        <v>85</v>
      </c>
      <c r="F52" s="203">
        <v>1.35</v>
      </c>
      <c r="G52" s="114" t="s">
        <v>161</v>
      </c>
      <c r="H52" s="116"/>
    </row>
    <row r="53" spans="1:8" ht="12.9" customHeight="1" x14ac:dyDescent="0.3">
      <c r="A53" s="105" t="s">
        <v>192</v>
      </c>
      <c r="B53" s="105"/>
      <c r="C53" s="115">
        <f>C51*F53</f>
        <v>0.36159999999999998</v>
      </c>
      <c r="D53" s="97"/>
      <c r="E53" s="104" t="s">
        <v>86</v>
      </c>
      <c r="F53" s="203">
        <v>2.2599999999999998</v>
      </c>
      <c r="G53" s="114" t="s">
        <v>161</v>
      </c>
      <c r="H53" s="97"/>
    </row>
    <row r="54" spans="1:8" ht="12.9" customHeight="1" x14ac:dyDescent="0.25">
      <c r="A54" s="97"/>
      <c r="B54" s="97"/>
      <c r="C54" s="97"/>
      <c r="D54" s="97"/>
      <c r="E54" s="98"/>
      <c r="F54" s="97"/>
      <c r="G54" s="97"/>
      <c r="H54" s="97"/>
    </row>
    <row r="55" spans="1:8" ht="12.9" customHeight="1" x14ac:dyDescent="0.3">
      <c r="A55" s="97" t="s">
        <v>19</v>
      </c>
      <c r="B55" s="97"/>
      <c r="C55" s="97"/>
      <c r="D55" s="206">
        <f>'Yleiskustannus (apu)'!C47</f>
        <v>290.20901487002533</v>
      </c>
      <c r="E55" s="98" t="s">
        <v>181</v>
      </c>
      <c r="F55" s="231" t="s">
        <v>223</v>
      </c>
      <c r="G55" s="97"/>
      <c r="H55" s="97"/>
    </row>
    <row r="56" spans="1:8" ht="12.9" customHeight="1" x14ac:dyDescent="0.25">
      <c r="A56" s="97"/>
      <c r="B56" s="97"/>
      <c r="C56" s="97"/>
      <c r="D56" s="97"/>
      <c r="E56" s="98"/>
      <c r="F56" s="97"/>
      <c r="G56" s="97"/>
      <c r="H56" s="97"/>
    </row>
    <row r="57" spans="1:8" ht="12.9" customHeight="1" x14ac:dyDescent="0.25">
      <c r="A57" s="99" t="s">
        <v>241</v>
      </c>
      <c r="B57" s="97"/>
      <c r="C57" s="97"/>
      <c r="D57" s="97"/>
      <c r="E57" s="98"/>
      <c r="F57" s="97"/>
      <c r="G57" s="97"/>
      <c r="H57" s="97"/>
    </row>
    <row r="58" spans="1:8" ht="12.9" customHeight="1" x14ac:dyDescent="0.25">
      <c r="C58" s="97"/>
      <c r="D58" s="98"/>
      <c r="E58" s="79" t="s">
        <v>237</v>
      </c>
      <c r="H58" s="97"/>
    </row>
    <row r="59" spans="1:8" ht="12.9" customHeight="1" x14ac:dyDescent="0.3">
      <c r="A59" s="99" t="s">
        <v>193</v>
      </c>
      <c r="C59" s="204">
        <f>'Työnmenekki (apu)'!C66</f>
        <v>38.248097703087559</v>
      </c>
      <c r="D59" s="98"/>
      <c r="E59" s="8">
        <f>C59*C11</f>
        <v>5431.2298738384334</v>
      </c>
      <c r="G59" s="99"/>
      <c r="H59" s="97"/>
    </row>
    <row r="60" spans="1:8" ht="12.9" customHeight="1" x14ac:dyDescent="0.25">
      <c r="H60" s="97"/>
    </row>
    <row r="61" spans="1:8" ht="12.9" customHeight="1" x14ac:dyDescent="0.3">
      <c r="A61" s="105" t="s">
        <v>238</v>
      </c>
      <c r="C61" s="203">
        <v>16</v>
      </c>
      <c r="D61" s="104" t="s">
        <v>59</v>
      </c>
      <c r="E61" s="106">
        <f>E59-E62</f>
        <v>3711.2298738384334</v>
      </c>
      <c r="F61" s="293">
        <f>E61/E59</f>
        <v>0.68331298067772306</v>
      </c>
      <c r="G61" s="99"/>
      <c r="H61" s="97"/>
    </row>
    <row r="62" spans="1:8" ht="12.9" customHeight="1" x14ac:dyDescent="0.3">
      <c r="A62" s="105" t="s">
        <v>239</v>
      </c>
      <c r="C62" s="203">
        <v>10.5</v>
      </c>
      <c r="D62" s="104" t="s">
        <v>59</v>
      </c>
      <c r="E62" s="207">
        <v>1720</v>
      </c>
      <c r="F62" s="293">
        <f>E62/E59</f>
        <v>0.316687019322277</v>
      </c>
      <c r="H62" s="97"/>
    </row>
    <row r="63" spans="1:8" ht="12.9" customHeight="1" x14ac:dyDescent="0.3">
      <c r="A63" s="105" t="s">
        <v>240</v>
      </c>
      <c r="C63" s="208">
        <v>0.4</v>
      </c>
      <c r="E63" s="99" t="s">
        <v>247</v>
      </c>
      <c r="H63" s="97"/>
    </row>
    <row r="64" spans="1:8" ht="12.9" customHeight="1" x14ac:dyDescent="0.25">
      <c r="E64" s="99" t="s">
        <v>245</v>
      </c>
      <c r="H64" s="97"/>
    </row>
    <row r="65" spans="1:8" ht="12.9" customHeight="1" x14ac:dyDescent="0.25">
      <c r="E65" s="99" t="s">
        <v>246</v>
      </c>
      <c r="G65" s="99"/>
      <c r="H65" s="97"/>
    </row>
    <row r="66" spans="1:8" ht="12.9" customHeight="1" x14ac:dyDescent="0.3">
      <c r="A66" s="114" t="s">
        <v>183</v>
      </c>
      <c r="B66" s="97"/>
      <c r="C66" s="207">
        <v>15</v>
      </c>
      <c r="D66" s="97"/>
      <c r="F66" s="97"/>
      <c r="G66" s="97"/>
      <c r="H66" s="97"/>
    </row>
    <row r="67" spans="1:8" ht="12.9" customHeight="1" x14ac:dyDescent="0.3">
      <c r="A67" s="99" t="s">
        <v>184</v>
      </c>
      <c r="B67" s="96"/>
      <c r="C67" s="208">
        <v>0.03</v>
      </c>
      <c r="D67" s="117"/>
      <c r="F67" s="97"/>
      <c r="G67" s="97"/>
      <c r="H67" s="97"/>
    </row>
    <row r="68" spans="1:8" x14ac:dyDescent="0.25">
      <c r="A68" s="97"/>
      <c r="B68" s="97"/>
      <c r="C68" s="97"/>
      <c r="D68" s="97"/>
      <c r="E68" s="98"/>
      <c r="F68" s="97"/>
      <c r="G68" s="97"/>
      <c r="H68" s="97"/>
    </row>
    <row r="70" spans="1:8" ht="12.9" customHeight="1" x14ac:dyDescent="0.25"/>
    <row r="71" spans="1:8" ht="12.9" customHeight="1" x14ac:dyDescent="0.25">
      <c r="E71"/>
    </row>
    <row r="72" spans="1:8" ht="12.9" customHeight="1" x14ac:dyDescent="0.25">
      <c r="E72"/>
    </row>
    <row r="73" spans="1:8" ht="12.9" customHeight="1" x14ac:dyDescent="0.25">
      <c r="E73"/>
    </row>
    <row r="74" spans="1:8" ht="12.9" customHeight="1" x14ac:dyDescent="0.25">
      <c r="E74"/>
    </row>
    <row r="75" spans="1:8" ht="12.9" customHeight="1" x14ac:dyDescent="0.25"/>
    <row r="76" spans="1:8" ht="12.9" customHeight="1" x14ac:dyDescent="0.25"/>
    <row r="77" spans="1:8" ht="12.9" customHeight="1" x14ac:dyDescent="0.25"/>
    <row r="78" spans="1:8" ht="12.9" customHeight="1" x14ac:dyDescent="0.25"/>
    <row r="79" spans="1:8" ht="12.9" customHeight="1" x14ac:dyDescent="0.25"/>
    <row r="80" spans="1:8" ht="12.9" customHeight="1" x14ac:dyDescent="0.25"/>
    <row r="81" ht="12.9" customHeight="1" x14ac:dyDescent="0.25"/>
    <row r="82" ht="12.9" customHeight="1" x14ac:dyDescent="0.25"/>
    <row r="83" ht="12.9" customHeight="1" x14ac:dyDescent="0.25"/>
    <row r="84" ht="12.9" customHeight="1" x14ac:dyDescent="0.25"/>
    <row r="85" ht="12.9" customHeight="1" x14ac:dyDescent="0.25"/>
    <row r="86" ht="12.9" customHeight="1" x14ac:dyDescent="0.25"/>
    <row r="87" ht="12.9" customHeight="1" x14ac:dyDescent="0.25"/>
    <row r="88" ht="12.9" customHeight="1" x14ac:dyDescent="0.25"/>
    <row r="89" ht="12.9" customHeight="1" x14ac:dyDescent="0.25"/>
    <row r="90" ht="12.9" customHeight="1" x14ac:dyDescent="0.25"/>
    <row r="91" ht="12.9" customHeight="1" x14ac:dyDescent="0.25"/>
    <row r="92" ht="12.9" customHeight="1" x14ac:dyDescent="0.25"/>
    <row r="93" ht="12.9" customHeight="1" x14ac:dyDescent="0.25"/>
    <row r="94" ht="12.9" customHeight="1" x14ac:dyDescent="0.25"/>
    <row r="95" ht="12.9" customHeight="1" x14ac:dyDescent="0.25"/>
    <row r="96" ht="12.9" customHeight="1" x14ac:dyDescent="0.25"/>
    <row r="97" ht="12.9" customHeight="1" x14ac:dyDescent="0.25"/>
    <row r="98" ht="12.9" customHeight="1" x14ac:dyDescent="0.25"/>
    <row r="99" ht="12.9" customHeight="1" x14ac:dyDescent="0.25"/>
    <row r="100" ht="12.9" customHeight="1" x14ac:dyDescent="0.25"/>
    <row r="101" ht="12.9" customHeight="1" x14ac:dyDescent="0.25"/>
    <row r="102" ht="12.9" customHeight="1" x14ac:dyDescent="0.25"/>
    <row r="103" ht="12.9" customHeight="1" x14ac:dyDescent="0.25"/>
    <row r="104" ht="12.9" customHeight="1" x14ac:dyDescent="0.25"/>
    <row r="105" ht="12.9" customHeight="1" x14ac:dyDescent="0.25"/>
    <row r="106" ht="12.9" customHeight="1" x14ac:dyDescent="0.25"/>
    <row r="107" ht="12.9" customHeight="1" x14ac:dyDescent="0.25"/>
    <row r="108" ht="12.9" customHeight="1" x14ac:dyDescent="0.25"/>
    <row r="109" ht="12.9" customHeight="1" x14ac:dyDescent="0.25"/>
    <row r="110" ht="12.9" customHeight="1" x14ac:dyDescent="0.25"/>
    <row r="111" ht="12.9" customHeight="1" x14ac:dyDescent="0.25"/>
    <row r="112" ht="12.9" customHeight="1" x14ac:dyDescent="0.25"/>
    <row r="113" ht="12.9" customHeight="1" x14ac:dyDescent="0.25"/>
    <row r="114" ht="12.9" customHeight="1" x14ac:dyDescent="0.25"/>
  </sheetData>
  <sheetProtection password="F5F2" sheet="1" objects="1" scenarios="1"/>
  <mergeCells count="1">
    <mergeCell ref="D9:E9"/>
  </mergeCells>
  <pageMargins left="0.7" right="0.7" top="0.75" bottom="0.75" header="0.3" footer="0.3"/>
  <pageSetup paperSize="9" scale="85" orientation="landscape" r:id="rId1"/>
  <headerFooter>
    <oddHeader>&amp;Cwww.luke.fi/mariski</oddHeader>
  </headerFooter>
  <rowBreaks count="1" manualBreakCount="1">
    <brk id="3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5369" r:id="rId4" name="Drop Down 9">
              <controlPr defaultSize="0" autoLine="0" autoPict="0" altText="Valitse">
                <anchor moveWithCells="1">
                  <from>
                    <xdr:col>1</xdr:col>
                    <xdr:colOff>68580</xdr:colOff>
                    <xdr:row>2</xdr:row>
                    <xdr:rowOff>144780</xdr:rowOff>
                  </from>
                  <to>
                    <xdr:col>1</xdr:col>
                    <xdr:colOff>830580</xdr:colOff>
                    <xdr:row>3</xdr:row>
                    <xdr:rowOff>152400</xdr:rowOff>
                  </to>
                </anchor>
              </controlPr>
            </control>
          </mc:Choice>
        </mc:AlternateContent>
        <mc:AlternateContent xmlns:mc="http://schemas.openxmlformats.org/markup-compatibility/2006">
          <mc:Choice Requires="x14">
            <control shapeId="15380" r:id="rId5" name="Button 20">
              <controlPr defaultSize="0" print="0" autoFill="0" autoPict="0" macro="[0]!Oletukset" altText="Palauta oletukset">
                <anchor moveWithCells="1">
                  <from>
                    <xdr:col>4</xdr:col>
                    <xdr:colOff>449580</xdr:colOff>
                    <xdr:row>1</xdr:row>
                    <xdr:rowOff>144780</xdr:rowOff>
                  </from>
                  <to>
                    <xdr:col>5</xdr:col>
                    <xdr:colOff>541020</xdr:colOff>
                    <xdr:row>3</xdr:row>
                    <xdr:rowOff>83820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ul9"/>
  <dimension ref="A1:G14"/>
  <sheetViews>
    <sheetView topLeftCell="B1" workbookViewId="0">
      <selection activeCell="B2" sqref="B2"/>
    </sheetView>
  </sheetViews>
  <sheetFormatPr defaultRowHeight="13.2" x14ac:dyDescent="0.25"/>
  <cols>
    <col min="1" max="1" width="0" hidden="1" customWidth="1"/>
    <col min="2" max="2" width="14.44140625" customWidth="1"/>
    <col min="3" max="3" width="19.44140625" customWidth="1"/>
    <col min="4" max="4" width="19.33203125" customWidth="1"/>
    <col min="5" max="6" width="10.6640625" customWidth="1"/>
  </cols>
  <sheetData>
    <row r="1" spans="1:7" x14ac:dyDescent="0.25">
      <c r="B1" s="96" t="s">
        <v>67</v>
      </c>
      <c r="C1" s="97"/>
      <c r="D1" s="97"/>
    </row>
    <row r="2" spans="1:7" x14ac:dyDescent="0.25">
      <c r="B2" s="96"/>
      <c r="C2" s="97"/>
      <c r="D2" s="97"/>
    </row>
    <row r="3" spans="1:7" x14ac:dyDescent="0.25">
      <c r="B3" s="97"/>
      <c r="C3" s="311" t="s">
        <v>248</v>
      </c>
      <c r="D3" s="311"/>
      <c r="E3" s="11"/>
    </row>
    <row r="4" spans="1:7" ht="24" customHeight="1" x14ac:dyDescent="0.25">
      <c r="A4" s="13">
        <v>3</v>
      </c>
      <c r="B4" s="97"/>
      <c r="C4" s="286" t="s">
        <v>76</v>
      </c>
      <c r="D4" s="286" t="s">
        <v>43</v>
      </c>
      <c r="E4" s="11"/>
    </row>
    <row r="5" spans="1:7" ht="24" customHeight="1" x14ac:dyDescent="0.25">
      <c r="B5" s="96"/>
      <c r="C5" s="286" t="s">
        <v>77</v>
      </c>
      <c r="D5" s="286" t="s">
        <v>78</v>
      </c>
      <c r="E5" s="11"/>
    </row>
    <row r="6" spans="1:7" x14ac:dyDescent="0.25">
      <c r="A6">
        <v>1</v>
      </c>
      <c r="B6" s="285" t="s">
        <v>68</v>
      </c>
      <c r="C6" s="283">
        <v>560</v>
      </c>
      <c r="D6" s="284">
        <v>0</v>
      </c>
      <c r="E6" s="11"/>
    </row>
    <row r="7" spans="1:7" x14ac:dyDescent="0.25">
      <c r="A7">
        <v>2</v>
      </c>
      <c r="B7" s="285" t="s">
        <v>69</v>
      </c>
      <c r="C7" s="283">
        <v>0</v>
      </c>
      <c r="D7" s="284">
        <v>7.2999999999999995E-2</v>
      </c>
      <c r="E7" s="11"/>
    </row>
    <row r="8" spans="1:7" x14ac:dyDescent="0.25">
      <c r="A8">
        <v>3</v>
      </c>
      <c r="B8" s="285" t="s">
        <v>70</v>
      </c>
      <c r="C8" s="283">
        <v>0</v>
      </c>
      <c r="D8" s="284">
        <v>0.08</v>
      </c>
      <c r="E8" s="11"/>
    </row>
    <row r="9" spans="1:7" x14ac:dyDescent="0.25">
      <c r="A9">
        <v>4</v>
      </c>
      <c r="B9" s="285" t="s">
        <v>194</v>
      </c>
      <c r="C9" s="283">
        <v>0</v>
      </c>
      <c r="D9" s="284">
        <v>0.09</v>
      </c>
      <c r="E9" s="11"/>
    </row>
    <row r="10" spans="1:7" x14ac:dyDescent="0.25">
      <c r="A10">
        <v>5</v>
      </c>
      <c r="B10" s="285" t="s">
        <v>71</v>
      </c>
      <c r="C10" s="283">
        <v>0</v>
      </c>
      <c r="D10" s="284">
        <v>0.12</v>
      </c>
      <c r="E10" s="11"/>
    </row>
    <row r="11" spans="1:7" x14ac:dyDescent="0.25">
      <c r="A11">
        <v>6</v>
      </c>
      <c r="B11" s="285" t="s">
        <v>72</v>
      </c>
      <c r="C11" s="283">
        <v>0</v>
      </c>
      <c r="D11" s="284">
        <v>0.13700000000000001</v>
      </c>
    </row>
    <row r="12" spans="1:7" x14ac:dyDescent="0.25">
      <c r="A12">
        <v>7</v>
      </c>
      <c r="B12" s="285" t="s">
        <v>73</v>
      </c>
      <c r="C12" s="283">
        <v>0</v>
      </c>
      <c r="D12" s="284">
        <v>0.16300000000000001</v>
      </c>
    </row>
    <row r="13" spans="1:7" x14ac:dyDescent="0.25">
      <c r="A13">
        <v>8</v>
      </c>
      <c r="B13" s="285" t="s">
        <v>74</v>
      </c>
      <c r="C13" s="283">
        <v>0</v>
      </c>
      <c r="D13" s="284">
        <v>0.21</v>
      </c>
      <c r="G13" s="11"/>
    </row>
    <row r="14" spans="1:7" x14ac:dyDescent="0.25">
      <c r="A14">
        <v>9</v>
      </c>
      <c r="B14" s="285" t="s">
        <v>75</v>
      </c>
      <c r="C14" s="283">
        <v>0</v>
      </c>
      <c r="D14" s="284">
        <v>0.30199999999999999</v>
      </c>
    </row>
  </sheetData>
  <mergeCells count="1">
    <mergeCell ref="C3:D3"/>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ul7"/>
  <dimension ref="A1:J49"/>
  <sheetViews>
    <sheetView zoomScaleNormal="100" zoomScaleSheetLayoutView="100" workbookViewId="0"/>
  </sheetViews>
  <sheetFormatPr defaultColWidth="9.109375" defaultRowHeight="13.2" x14ac:dyDescent="0.25"/>
  <cols>
    <col min="1" max="1" width="40.6640625" style="135" customWidth="1"/>
    <col min="2" max="2" width="18.88671875" style="135" customWidth="1"/>
    <col min="3" max="4" width="10.6640625" style="135" customWidth="1"/>
    <col min="5" max="5" width="13" style="135" customWidth="1"/>
    <col min="6" max="6" width="13.33203125" style="135" customWidth="1"/>
    <col min="7" max="9" width="9.109375" style="135"/>
    <col min="10" max="10" width="12.33203125" style="135" bestFit="1" customWidth="1"/>
    <col min="11" max="16384" width="9.109375" style="135"/>
  </cols>
  <sheetData>
    <row r="1" spans="1:6" x14ac:dyDescent="0.25">
      <c r="A1" s="275"/>
      <c r="B1" s="276"/>
      <c r="C1" s="276"/>
      <c r="D1" s="276"/>
      <c r="E1" s="276"/>
      <c r="F1" s="277"/>
    </row>
    <row r="2" spans="1:6" ht="15.6" x14ac:dyDescent="0.3">
      <c r="A2" s="282" t="s">
        <v>227</v>
      </c>
      <c r="B2" s="210"/>
      <c r="C2" s="210"/>
      <c r="D2" s="210"/>
      <c r="E2" s="210"/>
      <c r="F2" s="279"/>
    </row>
    <row r="3" spans="1:6" s="134" customFormat="1" ht="18" customHeight="1" x14ac:dyDescent="0.25">
      <c r="A3" s="278" t="s">
        <v>54</v>
      </c>
      <c r="B3" s="210">
        <f>Lähtötiedot!C11</f>
        <v>142</v>
      </c>
      <c r="C3" s="210"/>
      <c r="D3" s="210"/>
      <c r="E3" s="210"/>
      <c r="F3" s="279"/>
    </row>
    <row r="4" spans="1:6" ht="18" customHeight="1" x14ac:dyDescent="0.25">
      <c r="A4" s="280"/>
      <c r="B4" s="216"/>
      <c r="C4" s="216"/>
      <c r="D4" s="216"/>
      <c r="E4" s="216"/>
      <c r="F4" s="281"/>
    </row>
    <row r="5" spans="1:6" ht="18" customHeight="1" x14ac:dyDescent="0.25">
      <c r="A5" s="236"/>
      <c r="B5" s="149" t="s">
        <v>25</v>
      </c>
      <c r="C5" s="150" t="s">
        <v>82</v>
      </c>
      <c r="D5" s="273" t="s">
        <v>144</v>
      </c>
      <c r="E5" s="273" t="s">
        <v>26</v>
      </c>
      <c r="F5" s="274" t="s">
        <v>48</v>
      </c>
    </row>
    <row r="6" spans="1:6" ht="18" customHeight="1" x14ac:dyDescent="0.25">
      <c r="A6" s="240" t="s">
        <v>168</v>
      </c>
      <c r="B6" s="241"/>
      <c r="C6" s="241"/>
      <c r="D6" s="242"/>
      <c r="E6" s="242"/>
      <c r="F6" s="243"/>
    </row>
    <row r="7" spans="1:6" ht="18" customHeight="1" x14ac:dyDescent="0.25">
      <c r="A7" s="15" t="s">
        <v>40</v>
      </c>
      <c r="B7" s="16" t="s">
        <v>41</v>
      </c>
      <c r="C7" s="289">
        <f>Jakaumat!D4+((Lähtötiedot!C19-4.3)*0.037)+((Lähtötiedot!C20-3.3)*0.065)</f>
        <v>0.37</v>
      </c>
      <c r="D7" s="89">
        <f>Jakaumat!C4</f>
        <v>9000</v>
      </c>
      <c r="E7" s="89">
        <f>C7*D7</f>
        <v>3330</v>
      </c>
      <c r="F7" s="158">
        <f t="shared" ref="F7:F15" si="0">E7*$B$3</f>
        <v>472860</v>
      </c>
    </row>
    <row r="8" spans="1:6" ht="18" customHeight="1" x14ac:dyDescent="0.25">
      <c r="A8" s="15" t="s">
        <v>42</v>
      </c>
      <c r="B8" s="16" t="s">
        <v>27</v>
      </c>
      <c r="C8" s="90">
        <f>Lähtötiedot!D23</f>
        <v>2.2200000000000002</v>
      </c>
      <c r="D8" s="89">
        <f>Lähtötiedot!C35/100*630*0.4</f>
        <v>80.64</v>
      </c>
      <c r="E8" s="89">
        <f t="shared" ref="E8:E15" si="1">C8*D8</f>
        <v>179.02080000000001</v>
      </c>
      <c r="F8" s="158">
        <f t="shared" si="0"/>
        <v>25420.953600000001</v>
      </c>
    </row>
    <row r="9" spans="1:6" ht="18" customHeight="1" x14ac:dyDescent="0.25">
      <c r="A9" s="15" t="s">
        <v>3</v>
      </c>
      <c r="B9" s="16" t="s">
        <v>28</v>
      </c>
      <c r="C9" s="159">
        <f>Lähtötiedot!D24</f>
        <v>105</v>
      </c>
      <c r="D9" s="160">
        <f>0.49*(365/Lähtötiedot!C33)-(0.49*(365/Lähtötiedot!C33))*(Lähtötiedot!C36/100)</f>
        <v>0.40428009828009831</v>
      </c>
      <c r="E9" s="89">
        <f t="shared" si="1"/>
        <v>42.449410319410326</v>
      </c>
      <c r="F9" s="158">
        <f t="shared" si="0"/>
        <v>6027.8162653562667</v>
      </c>
    </row>
    <row r="10" spans="1:6" ht="18" customHeight="1" x14ac:dyDescent="0.25">
      <c r="A10" s="15" t="s">
        <v>4</v>
      </c>
      <c r="B10" s="16" t="s">
        <v>28</v>
      </c>
      <c r="C10" s="159">
        <f>Lähtötiedot!D25</f>
        <v>170</v>
      </c>
      <c r="D10" s="160">
        <f>0.51*(365/Lähtötiedot!C33)-(0.51*(365/Lähtötiedot!C33))*(Lähtötiedot!C36/100)</f>
        <v>0.42078132678132679</v>
      </c>
      <c r="E10" s="89">
        <f t="shared" si="1"/>
        <v>71.532825552825557</v>
      </c>
      <c r="F10" s="158">
        <f t="shared" si="0"/>
        <v>10157.661228501229</v>
      </c>
    </row>
    <row r="11" spans="1:6" ht="18" customHeight="1" x14ac:dyDescent="0.25">
      <c r="A11" s="15" t="s">
        <v>45</v>
      </c>
      <c r="B11" s="16" t="s">
        <v>28</v>
      </c>
      <c r="C11" s="161">
        <f>Lähtötiedot!D27</f>
        <v>420</v>
      </c>
      <c r="D11" s="89">
        <f>Lähtötiedot!C27/Katelaskelmatuloste!B3</f>
        <v>0</v>
      </c>
      <c r="E11" s="89">
        <f t="shared" si="1"/>
        <v>0</v>
      </c>
      <c r="F11" s="158">
        <f t="shared" si="0"/>
        <v>0</v>
      </c>
    </row>
    <row r="12" spans="1:6" ht="18" customHeight="1" x14ac:dyDescent="0.25">
      <c r="A12" s="15" t="s">
        <v>46</v>
      </c>
      <c r="B12" s="16" t="s">
        <v>52</v>
      </c>
      <c r="C12" s="161">
        <f>Lähtötiedot!D28/Katelaskelmatuloste!B3</f>
        <v>0</v>
      </c>
      <c r="D12" s="89">
        <v>1</v>
      </c>
      <c r="E12" s="89">
        <f t="shared" si="1"/>
        <v>0</v>
      </c>
      <c r="F12" s="158">
        <f t="shared" si="0"/>
        <v>0</v>
      </c>
    </row>
    <row r="13" spans="1:6" ht="18" customHeight="1" x14ac:dyDescent="0.25">
      <c r="A13" s="15" t="s">
        <v>43</v>
      </c>
      <c r="B13" s="16" t="s">
        <v>52</v>
      </c>
      <c r="C13" s="90">
        <f>LOOKUP(Tuet!A4,Tuet!A6:A14,Tuet!D6:D14)</f>
        <v>0.08</v>
      </c>
      <c r="D13" s="89">
        <f>D7</f>
        <v>9000</v>
      </c>
      <c r="E13" s="89">
        <f t="shared" si="1"/>
        <v>720</v>
      </c>
      <c r="F13" s="158">
        <f t="shared" si="0"/>
        <v>102240</v>
      </c>
    </row>
    <row r="14" spans="1:6" ht="18" customHeight="1" x14ac:dyDescent="0.25">
      <c r="A14" s="15" t="s">
        <v>47</v>
      </c>
      <c r="B14" s="16" t="s">
        <v>52</v>
      </c>
      <c r="C14" s="161">
        <f>LOOKUP(Tuet!A4,Tuet!A6:A14,Tuet!C6:C14)</f>
        <v>0</v>
      </c>
      <c r="D14" s="89">
        <v>1</v>
      </c>
      <c r="E14" s="89">
        <f t="shared" si="1"/>
        <v>0</v>
      </c>
      <c r="F14" s="158">
        <f t="shared" si="0"/>
        <v>0</v>
      </c>
    </row>
    <row r="15" spans="1:6" ht="18" customHeight="1" x14ac:dyDescent="0.25">
      <c r="A15" s="15" t="s">
        <v>44</v>
      </c>
      <c r="B15" s="16" t="s">
        <v>52</v>
      </c>
      <c r="C15" s="90">
        <f>Lähtötiedot!D31/Katelaskelmatuloste!B3</f>
        <v>0</v>
      </c>
      <c r="D15" s="89">
        <v>1</v>
      </c>
      <c r="E15" s="162">
        <f t="shared" si="1"/>
        <v>0</v>
      </c>
      <c r="F15" s="163">
        <f t="shared" si="0"/>
        <v>0</v>
      </c>
    </row>
    <row r="16" spans="1:6" ht="18" customHeight="1" x14ac:dyDescent="0.25">
      <c r="A16" s="314" t="s">
        <v>29</v>
      </c>
      <c r="B16" s="315"/>
      <c r="C16" s="315"/>
      <c r="D16" s="244"/>
      <c r="E16" s="165">
        <f>SUM(E7:E15)</f>
        <v>4343.0030358722361</v>
      </c>
      <c r="F16" s="245">
        <f>SUM(F7:F15)</f>
        <v>616706.43109385751</v>
      </c>
    </row>
    <row r="17" spans="1:6" ht="18" customHeight="1" x14ac:dyDescent="0.25">
      <c r="A17" s="316" t="s">
        <v>30</v>
      </c>
      <c r="B17" s="317"/>
      <c r="C17" s="317"/>
      <c r="D17" s="167"/>
      <c r="E17" s="167"/>
      <c r="F17" s="168"/>
    </row>
    <row r="18" spans="1:6" ht="18" customHeight="1" x14ac:dyDescent="0.25">
      <c r="A18" s="15" t="s">
        <v>51</v>
      </c>
      <c r="B18" s="16" t="s">
        <v>31</v>
      </c>
      <c r="C18" s="90">
        <f>Jakaumat!F4</f>
        <v>0.15</v>
      </c>
      <c r="D18" s="89">
        <f>Ruokinta!E16</f>
        <v>4337.5312447725073</v>
      </c>
      <c r="E18" s="89">
        <f>C18*D18</f>
        <v>650.62968671587612</v>
      </c>
      <c r="F18" s="158">
        <f t="shared" ref="F18:F27" si="2">E18*$B$3</f>
        <v>92389.415513654414</v>
      </c>
    </row>
    <row r="19" spans="1:6" ht="18" customHeight="1" x14ac:dyDescent="0.25">
      <c r="A19" s="15" t="s">
        <v>64</v>
      </c>
      <c r="B19" s="16" t="s">
        <v>31</v>
      </c>
      <c r="C19" s="90">
        <f>Jakaumat!E4</f>
        <v>0.16</v>
      </c>
      <c r="D19" s="89">
        <f>Ruokinta!E17</f>
        <v>2895.1376108382028</v>
      </c>
      <c r="E19" s="89">
        <f>C19*D19</f>
        <v>463.22201773411246</v>
      </c>
      <c r="F19" s="158">
        <f t="shared" si="2"/>
        <v>65777.526518243962</v>
      </c>
    </row>
    <row r="20" spans="1:6" ht="18" customHeight="1" x14ac:dyDescent="0.25">
      <c r="A20" s="15" t="s">
        <v>83</v>
      </c>
      <c r="B20" s="16" t="s">
        <v>31</v>
      </c>
      <c r="C20" s="90">
        <f>Lähtötiedot!F52*C19</f>
        <v>0.21600000000000003</v>
      </c>
      <c r="D20" s="246">
        <f>Ruokinta!E18</f>
        <v>511.12194175933877</v>
      </c>
      <c r="E20" s="89">
        <f>C20*D20</f>
        <v>110.40233942001719</v>
      </c>
      <c r="F20" s="158">
        <f t="shared" si="2"/>
        <v>15677.132197642441</v>
      </c>
    </row>
    <row r="21" spans="1:6" ht="18" customHeight="1" x14ac:dyDescent="0.25">
      <c r="A21" s="15" t="s">
        <v>217</v>
      </c>
      <c r="B21" s="16" t="s">
        <v>27</v>
      </c>
      <c r="C21" s="90">
        <f>Lähtötiedot!F53*C19</f>
        <v>0.36159999999999998</v>
      </c>
      <c r="D21" s="89">
        <f>Ruokinta!E19</f>
        <v>73</v>
      </c>
      <c r="E21" s="89">
        <f>C21*D21</f>
        <v>26.396799999999999</v>
      </c>
      <c r="F21" s="158">
        <f t="shared" si="2"/>
        <v>3748.3455999999996</v>
      </c>
    </row>
    <row r="22" spans="1:6" ht="18" customHeight="1" x14ac:dyDescent="0.25">
      <c r="A22" s="15" t="s">
        <v>6</v>
      </c>
      <c r="B22" s="16" t="s">
        <v>28</v>
      </c>
      <c r="C22" s="159">
        <f>Lähtötiedot!D38</f>
        <v>48</v>
      </c>
      <c r="D22" s="160">
        <f>Lähtötiedot!C38</f>
        <v>1.9</v>
      </c>
      <c r="E22" s="89">
        <f>((C22*D22)/Lähtötiedot!C33)*365</f>
        <v>81.788697788697775</v>
      </c>
      <c r="F22" s="158">
        <f t="shared" si="2"/>
        <v>11613.995085995084</v>
      </c>
    </row>
    <row r="23" spans="1:6" ht="18" customHeight="1" x14ac:dyDescent="0.25">
      <c r="A23" s="15" t="s">
        <v>5</v>
      </c>
      <c r="B23" s="16" t="s">
        <v>52</v>
      </c>
      <c r="C23" s="161">
        <f>Lähtötiedot!D45</f>
        <v>50</v>
      </c>
      <c r="D23" s="89">
        <v>1</v>
      </c>
      <c r="E23" s="89">
        <f t="shared" ref="E23:E29" si="3">C23*D23</f>
        <v>50</v>
      </c>
      <c r="F23" s="158">
        <f t="shared" si="2"/>
        <v>7100</v>
      </c>
    </row>
    <row r="24" spans="1:6" ht="18" customHeight="1" x14ac:dyDescent="0.25">
      <c r="A24" s="15" t="s">
        <v>32</v>
      </c>
      <c r="B24" s="16" t="s">
        <v>28</v>
      </c>
      <c r="C24" s="89">
        <f>Katelaskelmatuloste!C9+(Lähtötiedot!C37-14)*Lähtötiedot!D47</f>
        <v>1788.0000000000002</v>
      </c>
      <c r="D24" s="160">
        <f>Lähtötiedot!C35/100</f>
        <v>0.32</v>
      </c>
      <c r="E24" s="89">
        <f t="shared" si="3"/>
        <v>572.16000000000008</v>
      </c>
      <c r="F24" s="158">
        <f t="shared" si="2"/>
        <v>81246.720000000016</v>
      </c>
    </row>
    <row r="25" spans="1:6" ht="18" customHeight="1" x14ac:dyDescent="0.25">
      <c r="A25" s="15" t="s">
        <v>7</v>
      </c>
      <c r="B25" s="16" t="s">
        <v>52</v>
      </c>
      <c r="C25" s="161">
        <f>(((Lähtötiedot!D41*Lähtötiedot!C41)+(Lähtötiedot!D42*Lähtötiedot!C42)+(Lähtötiedot!D43*Lähtötiedot!C43))/B3)/D41</f>
        <v>15.96244131455399</v>
      </c>
      <c r="D25" s="89">
        <v>1</v>
      </c>
      <c r="E25" s="89">
        <f t="shared" si="3"/>
        <v>15.96244131455399</v>
      </c>
      <c r="F25" s="158">
        <f t="shared" si="2"/>
        <v>2266.6666666666665</v>
      </c>
    </row>
    <row r="26" spans="1:6" ht="18" customHeight="1" x14ac:dyDescent="0.25">
      <c r="A26" s="15" t="s">
        <v>33</v>
      </c>
      <c r="B26" s="16" t="s">
        <v>52</v>
      </c>
      <c r="C26" s="161">
        <f>Lähtötiedot!D46</f>
        <v>350</v>
      </c>
      <c r="D26" s="89">
        <v>1</v>
      </c>
      <c r="E26" s="89">
        <f t="shared" si="3"/>
        <v>350</v>
      </c>
      <c r="F26" s="158">
        <f t="shared" si="2"/>
        <v>49700</v>
      </c>
    </row>
    <row r="27" spans="1:6" ht="18" customHeight="1" x14ac:dyDescent="0.25">
      <c r="A27" s="15" t="s">
        <v>8</v>
      </c>
      <c r="B27" s="16" t="s">
        <v>52</v>
      </c>
      <c r="C27" s="170">
        <f>Lähtötiedot!C67</f>
        <v>0.03</v>
      </c>
      <c r="D27" s="89">
        <f>C24</f>
        <v>1788.0000000000002</v>
      </c>
      <c r="E27" s="89">
        <f t="shared" si="3"/>
        <v>53.640000000000008</v>
      </c>
      <c r="F27" s="158">
        <f t="shared" si="2"/>
        <v>7616.880000000001</v>
      </c>
    </row>
    <row r="28" spans="1:6" ht="18" customHeight="1" x14ac:dyDescent="0.25">
      <c r="A28" s="15" t="s">
        <v>57</v>
      </c>
      <c r="B28" s="16" t="s">
        <v>52</v>
      </c>
      <c r="C28" s="170">
        <v>0.2</v>
      </c>
      <c r="D28" s="89">
        <f>(E18+E19+E20+E21+E22+E23+E26+E33+E34)*C28</f>
        <v>465.73252520697309</v>
      </c>
      <c r="E28" s="89"/>
      <c r="F28" s="158"/>
    </row>
    <row r="29" spans="1:6" ht="18" customHeight="1" x14ac:dyDescent="0.25">
      <c r="A29" s="15" t="s">
        <v>56</v>
      </c>
      <c r="B29" s="16" t="s">
        <v>52</v>
      </c>
      <c r="C29" s="170">
        <f>Lähtötiedot!C67</f>
        <v>0.03</v>
      </c>
      <c r="D29" s="89">
        <f>D28</f>
        <v>465.73252520697309</v>
      </c>
      <c r="E29" s="89">
        <f t="shared" si="3"/>
        <v>13.971975756209192</v>
      </c>
      <c r="F29" s="158">
        <f>E29*$B$3</f>
        <v>1984.0205573817052</v>
      </c>
    </row>
    <row r="30" spans="1:6" ht="18" customHeight="1" x14ac:dyDescent="0.25">
      <c r="A30" s="314" t="s">
        <v>34</v>
      </c>
      <c r="B30" s="315"/>
      <c r="C30" s="315"/>
      <c r="D30" s="247"/>
      <c r="E30" s="248">
        <f>SUM(E18:E29)</f>
        <v>2388.1739587294669</v>
      </c>
      <c r="F30" s="249">
        <f>SUM(F18:F29)</f>
        <v>339120.70213958429</v>
      </c>
    </row>
    <row r="31" spans="1:6" ht="18" customHeight="1" x14ac:dyDescent="0.25">
      <c r="A31" s="314" t="s">
        <v>35</v>
      </c>
      <c r="B31" s="315"/>
      <c r="C31" s="315"/>
      <c r="D31" s="250"/>
      <c r="E31" s="248">
        <f>E16-E30</f>
        <v>1954.8290771427692</v>
      </c>
      <c r="F31" s="249">
        <f>F16-F30</f>
        <v>277585.72895427322</v>
      </c>
    </row>
    <row r="32" spans="1:6" ht="18" customHeight="1" x14ac:dyDescent="0.25">
      <c r="A32" s="236" t="s">
        <v>36</v>
      </c>
      <c r="B32" s="237"/>
      <c r="C32" s="237"/>
      <c r="D32" s="318"/>
      <c r="E32" s="318"/>
      <c r="F32" s="177"/>
    </row>
    <row r="33" spans="1:10" ht="18" customHeight="1" x14ac:dyDescent="0.25">
      <c r="A33" s="178" t="s">
        <v>79</v>
      </c>
      <c r="B33" s="179" t="s">
        <v>49</v>
      </c>
      <c r="C33" s="251">
        <f>Lähtötiedot!C61</f>
        <v>16</v>
      </c>
      <c r="D33" s="89">
        <f>Lähtötiedot!C59*Lähtötiedot!F61</f>
        <v>26.135421646749535</v>
      </c>
      <c r="E33" s="181">
        <f>C33*D33</f>
        <v>418.16674634799256</v>
      </c>
      <c r="F33" s="158">
        <f>E33*$B$3</f>
        <v>59379.677981414941</v>
      </c>
    </row>
    <row r="34" spans="1:10" ht="18" customHeight="1" x14ac:dyDescent="0.25">
      <c r="A34" s="182" t="s">
        <v>80</v>
      </c>
      <c r="B34" s="183" t="s">
        <v>49</v>
      </c>
      <c r="C34" s="184">
        <f>Lähtötiedot!C62+(Lähtötiedot!C62*Lähtötiedot!C63)</f>
        <v>14.7</v>
      </c>
      <c r="D34" s="162">
        <f>Lähtötiedot!C59*Lähtötiedot!F62</f>
        <v>12.112676056338028</v>
      </c>
      <c r="E34" s="162">
        <f>C34*D34</f>
        <v>178.05633802816899</v>
      </c>
      <c r="F34" s="163">
        <f>E34*$B$3</f>
        <v>25283.999999999996</v>
      </c>
    </row>
    <row r="35" spans="1:10" s="134" customFormat="1" ht="18" customHeight="1" x14ac:dyDescent="0.25">
      <c r="A35" s="252" t="s">
        <v>81</v>
      </c>
      <c r="B35" s="253"/>
      <c r="C35" s="248"/>
      <c r="D35" s="248"/>
      <c r="E35" s="248">
        <f>SUM(E33:E34)</f>
        <v>596.22308437616152</v>
      </c>
      <c r="F35" s="249">
        <f>SUM(F33:F34)</f>
        <v>84663.677981414934</v>
      </c>
    </row>
    <row r="36" spans="1:10" ht="18" customHeight="1" x14ac:dyDescent="0.25">
      <c r="A36" s="252" t="s">
        <v>37</v>
      </c>
      <c r="B36" s="248"/>
      <c r="C36" s="248"/>
      <c r="D36" s="248"/>
      <c r="E36" s="248">
        <f>E31-E35</f>
        <v>1358.6059927666076</v>
      </c>
      <c r="F36" s="245">
        <f>F31-F35</f>
        <v>192922.05097285827</v>
      </c>
    </row>
    <row r="37" spans="1:10" ht="24" customHeight="1" x14ac:dyDescent="0.25">
      <c r="A37" s="254" t="s">
        <v>50</v>
      </c>
      <c r="B37" s="179" t="s">
        <v>52</v>
      </c>
      <c r="C37" s="188">
        <v>1.4999999999999999E-2</v>
      </c>
      <c r="D37" s="89">
        <f>Lähtötiedot!D11</f>
        <v>13000</v>
      </c>
      <c r="E37" s="189">
        <f>C37*D37</f>
        <v>195</v>
      </c>
      <c r="F37" s="190">
        <f>E37*$B$3</f>
        <v>27690</v>
      </c>
    </row>
    <row r="38" spans="1:10" ht="18" customHeight="1" x14ac:dyDescent="0.25">
      <c r="A38" s="191" t="s">
        <v>38</v>
      </c>
      <c r="B38" s="183" t="s">
        <v>52</v>
      </c>
      <c r="C38" s="162">
        <f>Lähtötiedot!D55</f>
        <v>290.20901487002533</v>
      </c>
      <c r="D38" s="192">
        <v>1</v>
      </c>
      <c r="E38" s="193">
        <f>C38*D38</f>
        <v>290.20901487002533</v>
      </c>
      <c r="F38" s="194">
        <f>E38*$B$3</f>
        <v>41209.680111543596</v>
      </c>
    </row>
    <row r="39" spans="1:10" ht="18" customHeight="1" x14ac:dyDescent="0.25">
      <c r="A39" s="312" t="s">
        <v>39</v>
      </c>
      <c r="B39" s="313"/>
      <c r="C39" s="313"/>
      <c r="D39" s="313"/>
      <c r="E39" s="189">
        <f>E36-E37-E38</f>
        <v>873.39697789658226</v>
      </c>
      <c r="F39" s="255">
        <f>F36-F37-F38</f>
        <v>124022.37086131467</v>
      </c>
      <c r="H39" s="137"/>
    </row>
    <row r="40" spans="1:10" ht="18" customHeight="1" x14ac:dyDescent="0.25">
      <c r="A40" s="256"/>
      <c r="B40" s="196"/>
      <c r="C40" s="196"/>
      <c r="D40" s="196"/>
      <c r="E40" s="189"/>
      <c r="F40" s="190"/>
    </row>
    <row r="41" spans="1:10" ht="18" customHeight="1" x14ac:dyDescent="0.3">
      <c r="A41" s="257" t="s">
        <v>9</v>
      </c>
      <c r="B41" s="20" t="s">
        <v>170</v>
      </c>
      <c r="C41" s="20"/>
      <c r="D41" s="95">
        <f>Lähtötiedot!C66</f>
        <v>15</v>
      </c>
      <c r="E41" s="81"/>
      <c r="F41" s="258"/>
    </row>
    <row r="42" spans="1:10" ht="18" customHeight="1" x14ac:dyDescent="0.3">
      <c r="A42" s="259"/>
      <c r="B42" s="88" t="s">
        <v>131</v>
      </c>
      <c r="C42" s="88"/>
      <c r="D42" s="199">
        <f>Lähtötiedot!C67</f>
        <v>0.03</v>
      </c>
      <c r="E42" s="86"/>
      <c r="F42" s="260"/>
    </row>
    <row r="43" spans="1:10" ht="15.6" hidden="1" x14ac:dyDescent="0.3">
      <c r="A43" s="259"/>
      <c r="B43" s="20" t="s">
        <v>169</v>
      </c>
      <c r="C43" s="20"/>
      <c r="D43" s="83">
        <f>(POWER(1+D42,D41)-1)/(D42*(POWER(1+D42,D41)))</f>
        <v>11.937935086776077</v>
      </c>
      <c r="E43" s="81"/>
      <c r="F43" s="258"/>
    </row>
    <row r="44" spans="1:10" ht="18" customHeight="1" x14ac:dyDescent="0.25">
      <c r="A44" s="259"/>
      <c r="B44" s="80" t="s">
        <v>87</v>
      </c>
      <c r="C44" s="80"/>
      <c r="D44" s="80"/>
      <c r="E44" s="261">
        <f>D43*E39</f>
        <v>10426.5564271158</v>
      </c>
      <c r="F44" s="262">
        <f>D43*F39</f>
        <v>1480571.0126504435</v>
      </c>
      <c r="J44" s="140"/>
    </row>
    <row r="45" spans="1:10" x14ac:dyDescent="0.25">
      <c r="A45" s="119"/>
      <c r="B45" s="123"/>
      <c r="C45" s="123"/>
      <c r="D45" s="123"/>
      <c r="E45" s="123"/>
      <c r="F45" s="125"/>
    </row>
    <row r="46" spans="1:10" s="235" customFormat="1" ht="14.4" x14ac:dyDescent="0.3">
      <c r="A46" s="263" t="s">
        <v>228</v>
      </c>
      <c r="B46" s="264"/>
      <c r="C46" s="265"/>
      <c r="D46" s="266"/>
      <c r="E46" s="267">
        <f ca="1">Laskenta!L7</f>
        <v>9080.5402140318311</v>
      </c>
      <c r="F46" s="268">
        <f ca="1">Laskenta!K2*Katelaskelmatuloste!B3*D43</f>
        <v>1276865.7940529569</v>
      </c>
    </row>
    <row r="49" spans="1:1" x14ac:dyDescent="0.25">
      <c r="A49" s="136"/>
    </row>
  </sheetData>
  <sheetProtection password="F5F2" sheet="1" objects="1" scenarios="1"/>
  <mergeCells count="6">
    <mergeCell ref="A39:D39"/>
    <mergeCell ref="A16:C16"/>
    <mergeCell ref="A17:C17"/>
    <mergeCell ref="A30:C30"/>
    <mergeCell ref="A31:C31"/>
    <mergeCell ref="D32:E32"/>
  </mergeCells>
  <pageMargins left="0.62992125984251968" right="0.23622047244094491" top="0.74803149606299213" bottom="0.74803149606299213" header="0.31496062992125984" footer="0.31496062992125984"/>
  <pageSetup paperSize="9" scale="89" orientation="portrait" r:id="rId1"/>
  <headerFooter>
    <oddHeader>&amp;Cwww.luke.fi/mariski</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ul5"/>
  <dimension ref="A1:J52"/>
  <sheetViews>
    <sheetView topLeftCell="A31" zoomScaleNormal="100" zoomScaleSheetLayoutView="100" workbookViewId="0">
      <selection activeCell="E42" sqref="E42"/>
    </sheetView>
  </sheetViews>
  <sheetFormatPr defaultColWidth="9.109375" defaultRowHeight="13.2" x14ac:dyDescent="0.25"/>
  <cols>
    <col min="1" max="1" width="40.6640625" style="135" customWidth="1"/>
    <col min="2" max="2" width="18.88671875" style="135" customWidth="1"/>
    <col min="3" max="4" width="10.6640625" style="135" customWidth="1"/>
    <col min="5" max="5" width="13" style="135" customWidth="1"/>
    <col min="6" max="6" width="13.33203125" style="135" customWidth="1"/>
    <col min="7" max="7" width="11.6640625" style="135" bestFit="1" customWidth="1"/>
    <col min="8" max="16384" width="9.109375" style="135"/>
  </cols>
  <sheetData>
    <row r="1" spans="1:10" s="134" customFormat="1" ht="18" customHeight="1" x14ac:dyDescent="0.3">
      <c r="A1" s="141" t="s">
        <v>171</v>
      </c>
      <c r="B1" s="84"/>
      <c r="C1" s="84"/>
      <c r="D1" s="84"/>
      <c r="E1" s="142" t="s">
        <v>54</v>
      </c>
      <c r="F1" s="143">
        <f>Lähtötiedot!C11</f>
        <v>142</v>
      </c>
    </row>
    <row r="2" spans="1:10" ht="18" customHeight="1" x14ac:dyDescent="0.25">
      <c r="A2" s="144"/>
      <c r="B2" s="145"/>
      <c r="C2" s="145"/>
      <c r="D2" s="146"/>
      <c r="E2" s="146"/>
      <c r="F2" s="147"/>
    </row>
    <row r="3" spans="1:10" ht="18" customHeight="1" x14ac:dyDescent="0.25">
      <c r="A3" s="148"/>
      <c r="B3" s="149" t="s">
        <v>25</v>
      </c>
      <c r="C3" s="150" t="s">
        <v>82</v>
      </c>
      <c r="D3" s="151" t="s">
        <v>144</v>
      </c>
      <c r="E3" s="151" t="s">
        <v>26</v>
      </c>
      <c r="F3" s="152" t="s">
        <v>48</v>
      </c>
    </row>
    <row r="4" spans="1:10" ht="18" customHeight="1" x14ac:dyDescent="0.25">
      <c r="A4" s="153" t="s">
        <v>168</v>
      </c>
      <c r="B4" s="154"/>
      <c r="C4" s="154"/>
      <c r="D4" s="155"/>
      <c r="E4" s="155"/>
      <c r="F4" s="156"/>
    </row>
    <row r="5" spans="1:10" ht="18" customHeight="1" x14ac:dyDescent="0.25">
      <c r="A5" s="15" t="s">
        <v>40</v>
      </c>
      <c r="B5" s="16" t="s">
        <v>41</v>
      </c>
      <c r="C5" s="157">
        <f ca="1">Jakaumat!D14+((Lähtötiedot!C19-4.3)*0.0024)+((Lähtötiedot!C20-3.3)*0.0069)</f>
        <v>0.38419752850517008</v>
      </c>
      <c r="D5" s="89">
        <f ca="1">Jakaumat!C14/1.032</f>
        <v>9065.4285118342741</v>
      </c>
      <c r="E5" s="89">
        <f ca="1">C5*D5</f>
        <v>3482.9152290870302</v>
      </c>
      <c r="F5" s="158">
        <f t="shared" ref="F5:F13" ca="1" si="0">E5*$F$1</f>
        <v>494573.96253035829</v>
      </c>
    </row>
    <row r="6" spans="1:10" ht="18" customHeight="1" x14ac:dyDescent="0.25">
      <c r="A6" s="15" t="s">
        <v>42</v>
      </c>
      <c r="B6" s="16" t="s">
        <v>27</v>
      </c>
      <c r="C6" s="90">
        <f>Lähtötiedot!D23</f>
        <v>2.2200000000000002</v>
      </c>
      <c r="D6" s="89">
        <f>Lähtötiedot!C35/100*618*0.4</f>
        <v>79.103999999999999</v>
      </c>
      <c r="E6" s="89">
        <f t="shared" ref="E6:E13" si="1">C6*D6</f>
        <v>175.61088000000001</v>
      </c>
      <c r="F6" s="158">
        <f t="shared" si="0"/>
        <v>24936.74496</v>
      </c>
    </row>
    <row r="7" spans="1:10" ht="18" customHeight="1" x14ac:dyDescent="0.25">
      <c r="A7" s="15" t="s">
        <v>3</v>
      </c>
      <c r="B7" s="16" t="s">
        <v>28</v>
      </c>
      <c r="C7" s="159">
        <f>Lähtötiedot!D24</f>
        <v>105</v>
      </c>
      <c r="D7" s="160">
        <f>0.49*(365/Lähtötiedot!C33)-(0.49*(365/Lähtötiedot!C33))*(Lähtötiedot!C36/100)</f>
        <v>0.40428009828009831</v>
      </c>
      <c r="E7" s="89">
        <f t="shared" si="1"/>
        <v>42.449410319410326</v>
      </c>
      <c r="F7" s="158">
        <f t="shared" si="0"/>
        <v>6027.8162653562667</v>
      </c>
    </row>
    <row r="8" spans="1:10" ht="18" customHeight="1" x14ac:dyDescent="0.25">
      <c r="A8" s="15" t="s">
        <v>4</v>
      </c>
      <c r="B8" s="16" t="s">
        <v>28</v>
      </c>
      <c r="C8" s="159">
        <f>Lähtötiedot!D25</f>
        <v>170</v>
      </c>
      <c r="D8" s="160">
        <f>0.51*(365/Lähtötiedot!C33)-(0.51*(365/Lähtötiedot!C33))*(Lähtötiedot!C36/100)</f>
        <v>0.42078132678132679</v>
      </c>
      <c r="E8" s="89">
        <f t="shared" si="1"/>
        <v>71.532825552825557</v>
      </c>
      <c r="F8" s="158">
        <f t="shared" si="0"/>
        <v>10157.661228501229</v>
      </c>
    </row>
    <row r="9" spans="1:10" ht="18" customHeight="1" x14ac:dyDescent="0.25">
      <c r="A9" s="15" t="s">
        <v>45</v>
      </c>
      <c r="B9" s="16" t="s">
        <v>28</v>
      </c>
      <c r="C9" s="161">
        <f>Lähtötiedot!D27</f>
        <v>420</v>
      </c>
      <c r="D9" s="89">
        <f>Lähtötiedot!C27/Katelaskelma!F1</f>
        <v>0</v>
      </c>
      <c r="E9" s="89">
        <f t="shared" si="1"/>
        <v>0</v>
      </c>
      <c r="F9" s="158">
        <f t="shared" si="0"/>
        <v>0</v>
      </c>
    </row>
    <row r="10" spans="1:10" ht="18" customHeight="1" x14ac:dyDescent="0.25">
      <c r="A10" s="15" t="s">
        <v>46</v>
      </c>
      <c r="B10" s="16" t="s">
        <v>52</v>
      </c>
      <c r="C10" s="161">
        <f>Lähtötiedot!D28/Katelaskelma!F1</f>
        <v>0</v>
      </c>
      <c r="D10" s="89">
        <v>1</v>
      </c>
      <c r="E10" s="89">
        <f t="shared" si="1"/>
        <v>0</v>
      </c>
      <c r="F10" s="158">
        <f t="shared" si="0"/>
        <v>0</v>
      </c>
    </row>
    <row r="11" spans="1:10" ht="18" customHeight="1" x14ac:dyDescent="0.25">
      <c r="A11" s="15" t="s">
        <v>43</v>
      </c>
      <c r="B11" s="16" t="s">
        <v>52</v>
      </c>
      <c r="C11" s="90">
        <f>LOOKUP(Tuet!A4,Tuet!A6:A14,Tuet!D6:D14)</f>
        <v>0.08</v>
      </c>
      <c r="D11" s="89">
        <f ca="1">D5</f>
        <v>9065.4285118342741</v>
      </c>
      <c r="E11" s="89">
        <f t="shared" ca="1" si="1"/>
        <v>725.23428094674193</v>
      </c>
      <c r="F11" s="158">
        <f t="shared" ca="1" si="0"/>
        <v>102983.26789443735</v>
      </c>
    </row>
    <row r="12" spans="1:10" ht="18" customHeight="1" x14ac:dyDescent="0.25">
      <c r="A12" s="15" t="s">
        <v>47</v>
      </c>
      <c r="B12" s="16" t="s">
        <v>52</v>
      </c>
      <c r="C12" s="161">
        <f>LOOKUP(Tuet!A4,Tuet!A6:A14,Tuet!C6:C14)</f>
        <v>0</v>
      </c>
      <c r="D12" s="89">
        <v>1</v>
      </c>
      <c r="E12" s="89">
        <f t="shared" si="1"/>
        <v>0</v>
      </c>
      <c r="F12" s="158">
        <f t="shared" si="0"/>
        <v>0</v>
      </c>
    </row>
    <row r="13" spans="1:10" ht="18" customHeight="1" x14ac:dyDescent="0.25">
      <c r="A13" s="15" t="s">
        <v>44</v>
      </c>
      <c r="B13" s="16" t="s">
        <v>52</v>
      </c>
      <c r="C13" s="90">
        <f>Lähtötiedot!D31/Katelaskelma!F1</f>
        <v>0</v>
      </c>
      <c r="D13" s="89">
        <v>1</v>
      </c>
      <c r="E13" s="162">
        <f t="shared" si="1"/>
        <v>0</v>
      </c>
      <c r="F13" s="163">
        <f t="shared" si="0"/>
        <v>0</v>
      </c>
    </row>
    <row r="14" spans="1:10" ht="18" customHeight="1" x14ac:dyDescent="0.25">
      <c r="A14" s="321" t="s">
        <v>29</v>
      </c>
      <c r="B14" s="322"/>
      <c r="C14" s="322"/>
      <c r="D14" s="164"/>
      <c r="E14" s="165">
        <f ca="1">SUM(E5:E13)</f>
        <v>4497.7426259060085</v>
      </c>
      <c r="F14" s="166">
        <f ca="1">SUM(F5:F13)</f>
        <v>638679.45287865307</v>
      </c>
    </row>
    <row r="15" spans="1:10" ht="18" customHeight="1" x14ac:dyDescent="0.25">
      <c r="A15" s="316" t="s">
        <v>30</v>
      </c>
      <c r="B15" s="317"/>
      <c r="C15" s="317"/>
      <c r="D15" s="167"/>
      <c r="E15" s="167"/>
      <c r="F15" s="168"/>
    </row>
    <row r="16" spans="1:10" ht="18" customHeight="1" x14ac:dyDescent="0.25">
      <c r="A16" s="15" t="s">
        <v>51</v>
      </c>
      <c r="B16" s="16" t="s">
        <v>31</v>
      </c>
      <c r="C16" s="90">
        <f ca="1">Jakaumat!F14</f>
        <v>0.13476233373647156</v>
      </c>
      <c r="D16" s="89">
        <f>Ruokinta!E16</f>
        <v>4337.5312447725073</v>
      </c>
      <c r="E16" s="89">
        <f ca="1">C16*D16</f>
        <v>584.53583320040559</v>
      </c>
      <c r="F16" s="158">
        <f t="shared" ref="F16:F25" ca="1" si="2">E16*$F$1</f>
        <v>83004.088314457593</v>
      </c>
      <c r="G16" s="136"/>
      <c r="I16" s="136"/>
      <c r="J16" s="288"/>
    </row>
    <row r="17" spans="1:10" ht="18" customHeight="1" x14ac:dyDescent="0.25">
      <c r="A17" s="15" t="s">
        <v>64</v>
      </c>
      <c r="B17" s="16" t="s">
        <v>31</v>
      </c>
      <c r="C17" s="90">
        <f ca="1">Jakaumat!E14</f>
        <v>0.14592988971351306</v>
      </c>
      <c r="D17" s="89">
        <f>Ruokinta!E17</f>
        <v>2895.1376108382028</v>
      </c>
      <c r="E17" s="89">
        <f ca="1">C17*D17</f>
        <v>422.48711225506264</v>
      </c>
      <c r="F17" s="158">
        <f t="shared" ca="1" si="2"/>
        <v>59993.169940218897</v>
      </c>
      <c r="I17" s="136"/>
      <c r="J17" s="288"/>
    </row>
    <row r="18" spans="1:10" ht="18" customHeight="1" x14ac:dyDescent="0.25">
      <c r="A18" s="15" t="s">
        <v>83</v>
      </c>
      <c r="B18" s="16" t="s">
        <v>31</v>
      </c>
      <c r="C18" s="90">
        <f ca="1">Lähtötiedot!F52*C17</f>
        <v>0.19700535111324263</v>
      </c>
      <c r="D18" s="169">
        <f>Ruokinta!E18</f>
        <v>511.12194175933877</v>
      </c>
      <c r="E18" s="89">
        <f ca="1">C18*D18</f>
        <v>100.69375759798089</v>
      </c>
      <c r="F18" s="158">
        <f t="shared" ca="1" si="2"/>
        <v>14298.513578913287</v>
      </c>
      <c r="G18" s="137"/>
      <c r="H18" s="126"/>
    </row>
    <row r="19" spans="1:10" ht="18" customHeight="1" x14ac:dyDescent="0.25">
      <c r="A19" s="15" t="s">
        <v>217</v>
      </c>
      <c r="B19" s="16" t="s">
        <v>27</v>
      </c>
      <c r="C19" s="90">
        <f ca="1">Lähtötiedot!F53*C17</f>
        <v>0.32980155075253947</v>
      </c>
      <c r="D19" s="89">
        <f>Ruokinta!E19</f>
        <v>73</v>
      </c>
      <c r="E19" s="89">
        <f ca="1">C19*D19</f>
        <v>24.075513204935383</v>
      </c>
      <c r="F19" s="158">
        <f t="shared" ca="1" si="2"/>
        <v>3418.7228751008242</v>
      </c>
      <c r="G19" s="137"/>
      <c r="H19" s="126"/>
    </row>
    <row r="20" spans="1:10" ht="18" customHeight="1" x14ac:dyDescent="0.25">
      <c r="A20" s="15" t="s">
        <v>6</v>
      </c>
      <c r="B20" s="16" t="s">
        <v>28</v>
      </c>
      <c r="C20" s="159">
        <f>Lähtötiedot!D38</f>
        <v>48</v>
      </c>
      <c r="D20" s="160">
        <f>Lähtötiedot!C38</f>
        <v>1.9</v>
      </c>
      <c r="E20" s="89">
        <f>((C20*D20)/Lähtötiedot!C33)*365</f>
        <v>81.788697788697775</v>
      </c>
      <c r="F20" s="158">
        <f t="shared" si="2"/>
        <v>11613.995085995084</v>
      </c>
    </row>
    <row r="21" spans="1:10" ht="18" customHeight="1" x14ac:dyDescent="0.25">
      <c r="A21" s="15" t="s">
        <v>5</v>
      </c>
      <c r="B21" s="16" t="s">
        <v>52</v>
      </c>
      <c r="C21" s="161">
        <f>Lähtötiedot!D45</f>
        <v>50</v>
      </c>
      <c r="D21" s="89">
        <v>1</v>
      </c>
      <c r="E21" s="89">
        <f t="shared" ref="E21:E27" si="3">C21*D21</f>
        <v>50</v>
      </c>
      <c r="F21" s="158">
        <f t="shared" si="2"/>
        <v>7100</v>
      </c>
    </row>
    <row r="22" spans="1:10" ht="18" customHeight="1" x14ac:dyDescent="0.25">
      <c r="A22" s="15" t="s">
        <v>32</v>
      </c>
      <c r="B22" s="16" t="s">
        <v>28</v>
      </c>
      <c r="C22" s="89">
        <f>Katelaskelma!C7+(Lähtötiedot!C37-14)*Lähtötiedot!D47</f>
        <v>1788.0000000000002</v>
      </c>
      <c r="D22" s="160">
        <f>Lähtötiedot!C35/100</f>
        <v>0.32</v>
      </c>
      <c r="E22" s="89">
        <f t="shared" si="3"/>
        <v>572.16000000000008</v>
      </c>
      <c r="F22" s="158">
        <f t="shared" si="2"/>
        <v>81246.720000000016</v>
      </c>
    </row>
    <row r="23" spans="1:10" ht="18" customHeight="1" x14ac:dyDescent="0.25">
      <c r="A23" s="15" t="s">
        <v>7</v>
      </c>
      <c r="B23" s="16" t="s">
        <v>52</v>
      </c>
      <c r="C23" s="161">
        <f>(((Lähtötiedot!D41*Lähtötiedot!C41)+(Lähtötiedot!D42*Lähtötiedot!C42)+(Lähtötiedot!D43*Lähtötiedot!C43))/F1)/D39</f>
        <v>15.96244131455399</v>
      </c>
      <c r="D23" s="89">
        <v>1</v>
      </c>
      <c r="E23" s="89">
        <f t="shared" si="3"/>
        <v>15.96244131455399</v>
      </c>
      <c r="F23" s="158">
        <f t="shared" si="2"/>
        <v>2266.6666666666665</v>
      </c>
    </row>
    <row r="24" spans="1:10" ht="18" customHeight="1" x14ac:dyDescent="0.25">
      <c r="A24" s="15" t="s">
        <v>33</v>
      </c>
      <c r="B24" s="16" t="s">
        <v>52</v>
      </c>
      <c r="C24" s="161">
        <f>Lähtötiedot!D46</f>
        <v>350</v>
      </c>
      <c r="D24" s="89">
        <v>1</v>
      </c>
      <c r="E24" s="89">
        <f t="shared" si="3"/>
        <v>350</v>
      </c>
      <c r="F24" s="158">
        <f t="shared" si="2"/>
        <v>49700</v>
      </c>
    </row>
    <row r="25" spans="1:10" ht="18" customHeight="1" x14ac:dyDescent="0.25">
      <c r="A25" s="15" t="s">
        <v>8</v>
      </c>
      <c r="B25" s="16" t="s">
        <v>52</v>
      </c>
      <c r="C25" s="170">
        <f>Lähtötiedot!C67</f>
        <v>0.03</v>
      </c>
      <c r="D25" s="89">
        <f>C22</f>
        <v>1788.0000000000002</v>
      </c>
      <c r="E25" s="89">
        <f t="shared" si="3"/>
        <v>53.640000000000008</v>
      </c>
      <c r="F25" s="158">
        <f t="shared" si="2"/>
        <v>7616.880000000001</v>
      </c>
    </row>
    <row r="26" spans="1:10" ht="18" customHeight="1" x14ac:dyDescent="0.25">
      <c r="A26" s="15" t="s">
        <v>57</v>
      </c>
      <c r="B26" s="16" t="s">
        <v>52</v>
      </c>
      <c r="C26" s="170">
        <v>0.2</v>
      </c>
      <c r="D26" s="89">
        <f ca="1">E16+E17+E18+E19+E20+E21+E24+E31+E32</f>
        <v>2209.8039984232441</v>
      </c>
      <c r="E26" s="89"/>
      <c r="F26" s="158"/>
    </row>
    <row r="27" spans="1:10" ht="18" customHeight="1" x14ac:dyDescent="0.25">
      <c r="A27" s="15" t="s">
        <v>56</v>
      </c>
      <c r="B27" s="16" t="s">
        <v>52</v>
      </c>
      <c r="C27" s="170">
        <f>Lähtötiedot!C67</f>
        <v>0.03</v>
      </c>
      <c r="D27" s="89">
        <f ca="1">D26</f>
        <v>2209.8039984232441</v>
      </c>
      <c r="E27" s="89">
        <f t="shared" ca="1" si="3"/>
        <v>66.294119952697315</v>
      </c>
      <c r="F27" s="158">
        <f ca="1">E27*$F$1</f>
        <v>9413.7650332830181</v>
      </c>
    </row>
    <row r="28" spans="1:10" ht="18" customHeight="1" x14ac:dyDescent="0.25">
      <c r="A28" s="321" t="s">
        <v>34</v>
      </c>
      <c r="B28" s="322"/>
      <c r="C28" s="322"/>
      <c r="D28" s="171"/>
      <c r="E28" s="172">
        <f ca="1">SUM(E16:E27)</f>
        <v>2321.6374753143336</v>
      </c>
      <c r="F28" s="173">
        <f ca="1">SUM(F16:F27)</f>
        <v>329672.52149463544</v>
      </c>
    </row>
    <row r="29" spans="1:10" ht="18" customHeight="1" x14ac:dyDescent="0.25">
      <c r="A29" s="321" t="s">
        <v>35</v>
      </c>
      <c r="B29" s="322"/>
      <c r="C29" s="322"/>
      <c r="D29" s="174"/>
      <c r="E29" s="172">
        <f ca="1">E14-E28</f>
        <v>2176.1051505916748</v>
      </c>
      <c r="F29" s="173">
        <f ca="1">F14-F28</f>
        <v>309006.93138401763</v>
      </c>
    </row>
    <row r="30" spans="1:10" ht="18" customHeight="1" x14ac:dyDescent="0.25">
      <c r="A30" s="175" t="s">
        <v>36</v>
      </c>
      <c r="B30" s="176"/>
      <c r="C30" s="176"/>
      <c r="D30" s="318"/>
      <c r="E30" s="318"/>
      <c r="F30" s="177"/>
    </row>
    <row r="31" spans="1:10" ht="18" customHeight="1" x14ac:dyDescent="0.25">
      <c r="A31" s="178" t="s">
        <v>79</v>
      </c>
      <c r="B31" s="179" t="s">
        <v>49</v>
      </c>
      <c r="C31" s="180">
        <f>Lähtötiedot!C61</f>
        <v>16</v>
      </c>
      <c r="D31" s="89">
        <f>Lähtötiedot!C59*Lähtötiedot!F61</f>
        <v>26.135421646749535</v>
      </c>
      <c r="E31" s="181">
        <f>C31*D31</f>
        <v>418.16674634799256</v>
      </c>
      <c r="F31" s="158">
        <f>E31*$F$1</f>
        <v>59379.677981414941</v>
      </c>
    </row>
    <row r="32" spans="1:10" ht="18" customHeight="1" x14ac:dyDescent="0.25">
      <c r="A32" s="182" t="s">
        <v>80</v>
      </c>
      <c r="B32" s="183" t="s">
        <v>49</v>
      </c>
      <c r="C32" s="184">
        <f>Lähtötiedot!C62+(Lähtötiedot!C62*Lähtötiedot!C63)</f>
        <v>14.7</v>
      </c>
      <c r="D32" s="162">
        <f>Lähtötiedot!C59*Lähtötiedot!F62</f>
        <v>12.112676056338028</v>
      </c>
      <c r="E32" s="162">
        <f>C32*D32</f>
        <v>178.05633802816899</v>
      </c>
      <c r="F32" s="163">
        <f>E32*$F$1</f>
        <v>25283.999999999996</v>
      </c>
    </row>
    <row r="33" spans="1:7" s="134" customFormat="1" ht="18" customHeight="1" x14ac:dyDescent="0.25">
      <c r="A33" s="185" t="s">
        <v>81</v>
      </c>
      <c r="B33" s="186"/>
      <c r="C33" s="172"/>
      <c r="D33" s="172"/>
      <c r="E33" s="172">
        <f>SUM(E31:E32)</f>
        <v>596.22308437616152</v>
      </c>
      <c r="F33" s="173">
        <f>SUM(F31:F32)</f>
        <v>84663.677981414934</v>
      </c>
    </row>
    <row r="34" spans="1:7" ht="18" customHeight="1" x14ac:dyDescent="0.25">
      <c r="A34" s="185" t="s">
        <v>37</v>
      </c>
      <c r="B34" s="172"/>
      <c r="C34" s="172"/>
      <c r="D34" s="172"/>
      <c r="E34" s="172">
        <f ca="1">E29-E33</f>
        <v>1579.8820662155133</v>
      </c>
      <c r="F34" s="166">
        <f ca="1">F29-F33</f>
        <v>224343.25340260268</v>
      </c>
    </row>
    <row r="35" spans="1:7" ht="24" customHeight="1" x14ac:dyDescent="0.25">
      <c r="A35" s="187" t="s">
        <v>50</v>
      </c>
      <c r="B35" s="179" t="s">
        <v>52</v>
      </c>
      <c r="C35" s="188">
        <v>1.4999999999999999E-2</v>
      </c>
      <c r="D35" s="89">
        <f>Lähtötiedot!D11</f>
        <v>13000</v>
      </c>
      <c r="E35" s="189">
        <f>C35*D35</f>
        <v>195</v>
      </c>
      <c r="F35" s="190">
        <f>E35*$F$1</f>
        <v>27690</v>
      </c>
    </row>
    <row r="36" spans="1:7" ht="18" customHeight="1" x14ac:dyDescent="0.25">
      <c r="A36" s="191" t="s">
        <v>38</v>
      </c>
      <c r="B36" s="183" t="s">
        <v>52</v>
      </c>
      <c r="C36" s="162">
        <f>Lähtötiedot!D55</f>
        <v>290.20901487002533</v>
      </c>
      <c r="D36" s="192">
        <v>1</v>
      </c>
      <c r="E36" s="193">
        <f>C36*D36</f>
        <v>290.20901487002533</v>
      </c>
      <c r="F36" s="194">
        <f>E36*$F$1</f>
        <v>41209.680111543596</v>
      </c>
    </row>
    <row r="37" spans="1:7" ht="18" customHeight="1" x14ac:dyDescent="0.25">
      <c r="A37" s="319" t="s">
        <v>39</v>
      </c>
      <c r="B37" s="320"/>
      <c r="C37" s="320"/>
      <c r="D37" s="320"/>
      <c r="E37" s="189">
        <f ca="1">E34-E35-E36</f>
        <v>1094.6730513454879</v>
      </c>
      <c r="F37" s="195">
        <f ca="1">F34-F35-F36</f>
        <v>155443.57329105909</v>
      </c>
      <c r="G37" s="288"/>
    </row>
    <row r="38" spans="1:7" ht="18" customHeight="1" x14ac:dyDescent="0.25">
      <c r="A38" s="196"/>
      <c r="B38" s="196"/>
      <c r="C38" s="196"/>
      <c r="D38" s="196"/>
      <c r="E38" s="189"/>
      <c r="F38" s="197"/>
      <c r="G38" s="287"/>
    </row>
    <row r="39" spans="1:7" ht="18" customHeight="1" x14ac:dyDescent="0.3">
      <c r="A39" s="80" t="s">
        <v>9</v>
      </c>
      <c r="B39" s="20" t="s">
        <v>170</v>
      </c>
      <c r="C39" s="20"/>
      <c r="D39" s="95">
        <f>Lähtötiedot!C66</f>
        <v>15</v>
      </c>
      <c r="E39" s="81"/>
      <c r="F39" s="82"/>
    </row>
    <row r="40" spans="1:7" ht="15.6" x14ac:dyDescent="0.3">
      <c r="A40" s="198"/>
      <c r="B40" s="88" t="s">
        <v>131</v>
      </c>
      <c r="C40" s="88"/>
      <c r="D40" s="199">
        <f>Lähtötiedot!C67</f>
        <v>0.03</v>
      </c>
      <c r="E40" s="86"/>
      <c r="F40" s="87"/>
    </row>
    <row r="41" spans="1:7" ht="15.6" x14ac:dyDescent="0.3">
      <c r="A41" s="198"/>
      <c r="B41" s="20" t="s">
        <v>169</v>
      </c>
      <c r="C41" s="20"/>
      <c r="D41" s="83">
        <f>(POWER(1+D40,D39)-1)/(D40*(POWER(1+D40,D39)))</f>
        <v>11.937935086776077</v>
      </c>
      <c r="E41" s="81"/>
      <c r="F41" s="82"/>
    </row>
    <row r="42" spans="1:7" ht="18" customHeight="1" x14ac:dyDescent="0.25">
      <c r="A42" s="198"/>
      <c r="B42" s="84" t="s">
        <v>87</v>
      </c>
      <c r="C42" s="84"/>
      <c r="D42" s="84"/>
      <c r="E42" s="85">
        <f ca="1">D41*E37</f>
        <v>13068.135828205532</v>
      </c>
      <c r="F42" s="85">
        <f ca="1">D41*F37</f>
        <v>1855675.287605183</v>
      </c>
    </row>
    <row r="44" spans="1:7" ht="14.4" x14ac:dyDescent="0.3">
      <c r="A44" s="136"/>
      <c r="B44" s="232" t="s">
        <v>224</v>
      </c>
      <c r="C44" s="232"/>
      <c r="D44" s="232"/>
      <c r="E44" s="233">
        <f ca="1">Laskenta!L7</f>
        <v>9080.5402140318311</v>
      </c>
      <c r="F44" s="233">
        <f ca="1">Laskenta!K2*Katelaskelma!F1*D41</f>
        <v>1276865.7940529569</v>
      </c>
    </row>
    <row r="45" spans="1:7" x14ac:dyDescent="0.25">
      <c r="B45" s="136"/>
    </row>
    <row r="46" spans="1:7" x14ac:dyDescent="0.25">
      <c r="A46" s="136" t="s">
        <v>231</v>
      </c>
      <c r="B46" s="136"/>
      <c r="C46" s="138"/>
      <c r="F46" s="287">
        <f>-PMT(D40,D39,((Lähtötiedot!C11*(Lähtötiedot!D11*(1-Lähtötiedot!B6)))))</f>
        <v>100511.51989669941</v>
      </c>
    </row>
    <row r="47" spans="1:7" x14ac:dyDescent="0.25">
      <c r="A47" s="136" t="s">
        <v>230</v>
      </c>
      <c r="B47" s="136"/>
      <c r="C47" s="139"/>
      <c r="F47" s="287">
        <f ca="1">F29-F32-F35-F36-F46</f>
        <v>114311.73137577463</v>
      </c>
    </row>
    <row r="48" spans="1:7" x14ac:dyDescent="0.25">
      <c r="B48" s="136"/>
    </row>
    <row r="49" spans="1:5" x14ac:dyDescent="0.25">
      <c r="C49" s="140"/>
      <c r="E49" s="138"/>
    </row>
    <row r="50" spans="1:5" x14ac:dyDescent="0.25">
      <c r="C50" s="140"/>
    </row>
    <row r="52" spans="1:5" x14ac:dyDescent="0.25">
      <c r="A52" s="136"/>
    </row>
  </sheetData>
  <mergeCells count="6">
    <mergeCell ref="A37:D37"/>
    <mergeCell ref="A14:C14"/>
    <mergeCell ref="A15:C15"/>
    <mergeCell ref="A28:C28"/>
    <mergeCell ref="A29:C29"/>
    <mergeCell ref="D30:E30"/>
  </mergeCells>
  <pageMargins left="0.62992125984251968" right="0.23622047244094491" top="0.74803149606299213" bottom="0.74803149606299213" header="0.31496062992125984" footer="0.31496062992125984"/>
  <pageSetup paperSize="9" scale="8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ul2"/>
  <dimension ref="A1:N1001"/>
  <sheetViews>
    <sheetView zoomScale="85" zoomScaleNormal="85" workbookViewId="0">
      <selection activeCell="H20" sqref="H20"/>
    </sheetView>
  </sheetViews>
  <sheetFormatPr defaultColWidth="9.109375" defaultRowHeight="13.2" x14ac:dyDescent="0.25"/>
  <cols>
    <col min="1" max="1" width="9.109375" style="1"/>
    <col min="2" max="2" width="8.88671875"/>
    <col min="3" max="3" width="9.109375" style="1"/>
    <col min="4" max="4" width="41" style="1" customWidth="1"/>
    <col min="5" max="5" width="19.44140625" style="1" customWidth="1"/>
    <col min="6" max="6" width="13.33203125" style="1" customWidth="1"/>
    <col min="7" max="7" width="18.88671875" style="1" customWidth="1"/>
    <col min="8" max="8" width="9.109375" style="2"/>
    <col min="9" max="10" width="36.33203125" style="1" customWidth="1"/>
    <col min="11" max="11" width="33.88671875" style="1" customWidth="1"/>
    <col min="12" max="12" width="41.44140625" style="1" customWidth="1"/>
    <col min="13" max="13" width="20" style="1" customWidth="1"/>
    <col min="14" max="14" width="22.44140625" style="1" customWidth="1"/>
    <col min="15" max="15" width="13.88671875" style="1" customWidth="1"/>
    <col min="16" max="16" width="10.88671875" style="1" bestFit="1" customWidth="1"/>
    <col min="17" max="16384" width="9.109375" style="1"/>
  </cols>
  <sheetData>
    <row r="1" spans="1:14" ht="26.4" x14ac:dyDescent="0.25">
      <c r="A1" s="9"/>
      <c r="C1" s="2" t="s">
        <v>10</v>
      </c>
      <c r="D1" s="10" t="s">
        <v>153</v>
      </c>
      <c r="E1" s="10"/>
      <c r="F1" s="2" t="s">
        <v>126</v>
      </c>
      <c r="G1" s="2" t="s">
        <v>230</v>
      </c>
      <c r="K1" s="10" t="s">
        <v>115</v>
      </c>
      <c r="L1" s="10" t="s">
        <v>87</v>
      </c>
      <c r="M1" s="10" t="s">
        <v>230</v>
      </c>
      <c r="N1"/>
    </row>
    <row r="2" spans="1:14" x14ac:dyDescent="0.25">
      <c r="A2" s="5"/>
      <c r="C2" s="2">
        <v>1</v>
      </c>
      <c r="D2" s="5">
        <f ca="1">Katelaskelma!E37</f>
        <v>1094.6730513454879</v>
      </c>
      <c r="E2" s="5"/>
      <c r="F2" s="2">
        <f ca="1">D2*Katelaskelma!$D$41</f>
        <v>13068.135828205532</v>
      </c>
      <c r="G2" s="5">
        <f ca="1">D2*Lähtötiedot!$C$11+Katelaskelma!$F$31-Katelaskelma!$F$46</f>
        <v>114311.73137577483</v>
      </c>
      <c r="H2" s="1"/>
      <c r="I2" s="3" t="s">
        <v>0</v>
      </c>
      <c r="J2" s="3"/>
      <c r="K2" s="3">
        <f ca="1">AVERAGE(D2:D1001)</f>
        <v>753.23014983859389</v>
      </c>
      <c r="L2" s="3">
        <f ca="1">AVERAGE(F2:F1001)</f>
        <v>8992.0126341757477</v>
      </c>
      <c r="M2" s="3">
        <f ca="1">AVERAGE(G2:G1001)</f>
        <v>65826.839361795865</v>
      </c>
      <c r="N2"/>
    </row>
    <row r="3" spans="1:14" x14ac:dyDescent="0.25">
      <c r="A3" s="5"/>
      <c r="C3" s="2">
        <v>2</v>
      </c>
      <c r="D3" s="5">
        <f t="dataTable" ref="D3:D1001" dt2D="0" dtr="0" r1="D1" ca="1"/>
        <v>670.22839440228768</v>
      </c>
      <c r="E3" s="5"/>
      <c r="F3" s="2">
        <f>D3*Katelaskelma!$D$41</f>
        <v>8001.143065688665</v>
      </c>
      <c r="G3" s="5">
        <f>D3*Lähtötiedot!$C$11+Katelaskelma!$F$31-Katelaskelma!$F$46</f>
        <v>54040.590089840378</v>
      </c>
      <c r="H3" s="1"/>
      <c r="I3" s="3" t="s">
        <v>1</v>
      </c>
      <c r="J3" s="3"/>
      <c r="K3" s="3">
        <f ca="1">STDEV(D2:D1001)</f>
        <v>287.07384001534996</v>
      </c>
      <c r="L3" s="3">
        <f ca="1">STDEV(F2:F1001)</f>
        <v>3427.0688672148272</v>
      </c>
      <c r="M3" s="3">
        <f ca="1">STDEV(G2:G1001)</f>
        <v>40764.48528217979</v>
      </c>
      <c r="N3"/>
    </row>
    <row r="4" spans="1:14" x14ac:dyDescent="0.25">
      <c r="A4" s="5"/>
      <c r="C4" s="2">
        <v>3</v>
      </c>
      <c r="D4" s="5">
        <v>237.14673910544644</v>
      </c>
      <c r="E4" s="5"/>
      <c r="F4" s="2">
        <f>D4*Katelaskelma!$D$41</f>
        <v>2831.0423774814417</v>
      </c>
      <c r="G4" s="5">
        <f>D4*Lähtötiedot!$C$11+Katelaskelma!$F$31-Katelaskelma!$F$46</f>
        <v>-7457.0049623110681</v>
      </c>
      <c r="H4" s="1"/>
      <c r="I4" s="3" t="s">
        <v>11</v>
      </c>
      <c r="J4" s="3"/>
      <c r="K4" s="3">
        <f ca="1">MIN(D2:D1001)</f>
        <v>-15.405560888047319</v>
      </c>
      <c r="L4" s="3">
        <f ca="1">MIN(F2:F1001)</f>
        <v>-183.91058585688532</v>
      </c>
      <c r="M4" s="3">
        <f ca="1">MIN(G2:G1001)</f>
        <v>-43319.431561387188</v>
      </c>
      <c r="N4"/>
    </row>
    <row r="5" spans="1:14" x14ac:dyDescent="0.25">
      <c r="A5" s="5"/>
      <c r="C5" s="2">
        <v>4</v>
      </c>
      <c r="D5" s="5">
        <v>699.04669698808607</v>
      </c>
      <c r="E5" s="5"/>
      <c r="F5" s="2">
        <f>D5*Katelaskelma!$D$41</f>
        <v>8345.1740912689984</v>
      </c>
      <c r="G5" s="5">
        <f>D5*Lähtötiedot!$C$11+Katelaskelma!$F$31-Katelaskelma!$F$46</f>
        <v>58132.789057023765</v>
      </c>
      <c r="H5" s="1"/>
      <c r="I5" s="3" t="s">
        <v>12</v>
      </c>
      <c r="J5" s="3"/>
      <c r="K5" s="3">
        <f ca="1">MAX(D2:D1001)</f>
        <v>1553.0598492012507</v>
      </c>
      <c r="L5" s="3">
        <f ca="1">MAX(F2:F1001)</f>
        <v>18540.327665642773</v>
      </c>
      <c r="M5" s="3">
        <f ca="1">MAX(G2:G1001)</f>
        <v>179402.65667129314</v>
      </c>
      <c r="N5"/>
    </row>
    <row r="6" spans="1:14" x14ac:dyDescent="0.25">
      <c r="A6" s="5"/>
      <c r="C6" s="2">
        <v>5</v>
      </c>
      <c r="D6" s="5">
        <v>669.82478339904742</v>
      </c>
      <c r="E6" s="5"/>
      <c r="F6" s="2">
        <f>D6*Katelaskelma!$D$41</f>
        <v>7996.324783731674</v>
      </c>
      <c r="G6" s="5">
        <f>D6*Lähtötiedot!$C$11+Katelaskelma!$F$31-Katelaskelma!$F$46</f>
        <v>53983.27732738026</v>
      </c>
      <c r="H6" s="1"/>
      <c r="I6" s="3" t="s">
        <v>127</v>
      </c>
      <c r="J6" s="3"/>
      <c r="K6" s="3">
        <f ca="1">MEDIAN(D2:D1001)</f>
        <v>756.55513164130889</v>
      </c>
      <c r="L6" s="3">
        <f ca="1">MEDIAN(F2:F1001)</f>
        <v>9031.7060511012751</v>
      </c>
      <c r="M6" s="3">
        <f ca="1">MEDIAN(G2:G1001)</f>
        <v>66298.986777781392</v>
      </c>
      <c r="N6"/>
    </row>
    <row r="7" spans="1:14" ht="14.4" x14ac:dyDescent="0.3">
      <c r="A7" s="5"/>
      <c r="C7" s="2">
        <v>6</v>
      </c>
      <c r="D7" s="5">
        <v>946.59124803837517</v>
      </c>
      <c r="E7" s="5"/>
      <c r="F7" s="2">
        <f>D7*Katelaskelma!$D$41</f>
        <v>11300.344872792475</v>
      </c>
      <c r="G7" s="5">
        <f>D7*Lähtötiedot!$C$11+Katelaskelma!$F$31-Katelaskelma!$F$46</f>
        <v>93284.115306164807</v>
      </c>
      <c r="H7" s="1"/>
      <c r="I7" s="40" t="s">
        <v>118</v>
      </c>
      <c r="J7" s="40"/>
      <c r="K7" s="40">
        <f ca="1">($K$4+$K$6*4+$K$5)/6</f>
        <v>760.64580247973981</v>
      </c>
      <c r="L7" s="40">
        <f ca="1">($L$4+$L$6*4+$L$5)/6</f>
        <v>9080.5402140318311</v>
      </c>
      <c r="M7" s="40">
        <f ca="1">($M$4+$M$6*4+$M$5)/6</f>
        <v>66879.862036838589</v>
      </c>
      <c r="N7"/>
    </row>
    <row r="8" spans="1:14" ht="14.4" x14ac:dyDescent="0.3">
      <c r="A8" s="5"/>
      <c r="C8" s="2">
        <v>7</v>
      </c>
      <c r="D8" s="5">
        <v>898.59624721722435</v>
      </c>
      <c r="E8" s="5"/>
      <c r="F8" s="2">
        <f>D8*Katelaskelma!$D$41</f>
        <v>10727.383668499813</v>
      </c>
      <c r="G8" s="5">
        <f>D8*Lähtötiedot!$C$11+Katelaskelma!$F$31-Katelaskelma!$F$46</f>
        <v>86468.825189561379</v>
      </c>
      <c r="H8" s="1"/>
      <c r="I8" s="40" t="s">
        <v>120</v>
      </c>
      <c r="J8" s="40"/>
      <c r="K8" s="40">
        <f ca="1">6*(($K$7-$K$4)/($K$5-$K$4))</f>
        <v>2.9687031350864306</v>
      </c>
      <c r="L8" s="40">
        <f ca="1">6*(($L$7-$L$4)/($L$5-$L$4))</f>
        <v>2.9687031350864306</v>
      </c>
      <c r="M8" s="40">
        <f ca="1">6*(($M$7-$M$4)/($M$5-$M$4))</f>
        <v>2.9687031350864301</v>
      </c>
      <c r="N8"/>
    </row>
    <row r="9" spans="1:14" ht="14.4" x14ac:dyDescent="0.3">
      <c r="A9" s="5"/>
      <c r="C9" s="2">
        <v>8</v>
      </c>
      <c r="D9" s="5">
        <v>809.43364873725</v>
      </c>
      <c r="E9" s="5"/>
      <c r="F9" s="2">
        <f>D9*Katelaskelma!$D$41</f>
        <v>9662.9663556775995</v>
      </c>
      <c r="G9" s="5">
        <f>D9*Lähtötiedot!$C$11+Katelaskelma!$F$31-Katelaskelma!$F$46</f>
        <v>73807.736205405032</v>
      </c>
      <c r="H9" s="1"/>
      <c r="I9" s="40" t="s">
        <v>121</v>
      </c>
      <c r="J9" s="40"/>
      <c r="K9" s="40">
        <f ca="1">6*(($K$5-$K$7)/($K$5-$K$4))</f>
        <v>3.0312968649135694</v>
      </c>
      <c r="L9" s="40">
        <f ca="1">6*(($L$5-$L$7)/($L$5-$L$4))</f>
        <v>3.0312968649135703</v>
      </c>
      <c r="M9" s="40">
        <f ca="1">6*(($M$5-$M$7)/($M$5-$M$4))</f>
        <v>3.0312968649135694</v>
      </c>
      <c r="N9"/>
    </row>
    <row r="10" spans="1:14" ht="14.4" x14ac:dyDescent="0.3">
      <c r="A10" s="5"/>
      <c r="C10" s="2">
        <v>9</v>
      </c>
      <c r="D10" s="5">
        <v>825.25338163757419</v>
      </c>
      <c r="E10" s="5"/>
      <c r="F10" s="2">
        <f>D10*Katelaskelma!$D$41</f>
        <v>9851.8213001318054</v>
      </c>
      <c r="G10" s="5">
        <f>D10*Lähtötiedot!$C$11+Katelaskelma!$F$31-Katelaskelma!$F$46</f>
        <v>76054.13827725107</v>
      </c>
      <c r="H10" s="1"/>
      <c r="I10" s="40" t="s">
        <v>122</v>
      </c>
      <c r="J10" s="40"/>
      <c r="K10" s="40">
        <f ca="1">EXP(GAMMALN($K$8)+GAMMALN($K$9)-GAMMALN($K$8+$K$9))</f>
        <v>3.3346230659849138E-2</v>
      </c>
      <c r="L10" s="40">
        <f ca="1">EXP(GAMMALN($L$8)+GAMMALN($L$9)-GAMMALN($L$8+$L$9))</f>
        <v>3.3346230659849138E-2</v>
      </c>
      <c r="M10" s="40">
        <f ca="1">EXP(GAMMALN($M$8)+GAMMALN($M$9)-GAMMALN($M$8+$M$9))</f>
        <v>3.3346230659849138E-2</v>
      </c>
      <c r="N10"/>
    </row>
    <row r="11" spans="1:14" x14ac:dyDescent="0.25">
      <c r="A11" s="5"/>
      <c r="C11" s="2">
        <v>10</v>
      </c>
      <c r="D11" s="5">
        <v>777.16973591591182</v>
      </c>
      <c r="E11" s="5"/>
      <c r="F11" s="2">
        <f>D11*Katelaskelma!$D$41</f>
        <v>9277.8018587710612</v>
      </c>
      <c r="G11" s="5">
        <f>D11*Lähtötiedot!$C$11+Katelaskelma!$F$31-Katelaskelma!$F$46</f>
        <v>69226.260584775009</v>
      </c>
      <c r="H11" s="1"/>
      <c r="I11" s="3" t="s">
        <v>2</v>
      </c>
      <c r="J11" s="3"/>
      <c r="M11"/>
      <c r="N11"/>
    </row>
    <row r="12" spans="1:14" x14ac:dyDescent="0.25">
      <c r="A12" s="5"/>
      <c r="C12" s="2">
        <v>11</v>
      </c>
      <c r="D12" s="5">
        <v>501.26553432911788</v>
      </c>
      <c r="E12" s="5"/>
      <c r="F12" s="2">
        <f>D12*Katelaskelma!$D$41</f>
        <v>5984.0754100591348</v>
      </c>
      <c r="G12" s="5">
        <f>D12*Lähtötiedot!$C$11+Katelaskelma!$F$31-Katelaskelma!$F$46</f>
        <v>30047.863959450275</v>
      </c>
      <c r="H12" s="1"/>
      <c r="I12" s="1">
        <v>2</v>
      </c>
      <c r="K12" s="3">
        <f t="shared" ref="K12:K32" ca="1" si="0">$K$2*$I12</f>
        <v>1506.4602996771878</v>
      </c>
      <c r="L12" s="3">
        <f ca="1">$L$2*$I12</f>
        <v>17984.025268351495</v>
      </c>
      <c r="M12" s="3">
        <f ca="1">$M$2*$I12</f>
        <v>131653.67872359173</v>
      </c>
      <c r="N12"/>
    </row>
    <row r="13" spans="1:14" x14ac:dyDescent="0.25">
      <c r="A13" s="5"/>
      <c r="C13" s="2">
        <v>12</v>
      </c>
      <c r="D13" s="5">
        <v>900.69353392630933</v>
      </c>
      <c r="E13" s="5"/>
      <c r="F13" s="2">
        <f>D13*Katelaskelma!$D$41</f>
        <v>10752.420941091228</v>
      </c>
      <c r="G13" s="5">
        <f>D13*Lähtötiedot!$C$11+Katelaskelma!$F$31-Katelaskelma!$F$46</f>
        <v>86766.639902251452</v>
      </c>
      <c r="H13" s="1"/>
      <c r="I13" s="1">
        <v>1.95</v>
      </c>
      <c r="K13" s="3">
        <f t="shared" ca="1" si="0"/>
        <v>1468.798792185258</v>
      </c>
      <c r="L13" s="3">
        <f t="shared" ref="L13:L52" ca="1" si="1">$L$2*$I13</f>
        <v>17534.424636642707</v>
      </c>
      <c r="M13" s="3">
        <f t="shared" ref="M13:M52" ca="1" si="2">$M$2*$I13</f>
        <v>128362.33675550194</v>
      </c>
      <c r="N13"/>
    </row>
    <row r="14" spans="1:14" x14ac:dyDescent="0.25">
      <c r="A14" s="5"/>
      <c r="C14" s="2">
        <v>13</v>
      </c>
      <c r="D14" s="5">
        <v>791.54348757054436</v>
      </c>
      <c r="E14" s="5"/>
      <c r="F14" s="2">
        <f>D14*Katelaskelma!$D$41</f>
        <v>9449.3947729775045</v>
      </c>
      <c r="G14" s="5">
        <f>D14*Lähtötiedot!$C$11+Katelaskelma!$F$31-Katelaskelma!$F$46</f>
        <v>71267.333319732832</v>
      </c>
      <c r="H14" s="1"/>
      <c r="I14" s="1">
        <v>1.9</v>
      </c>
      <c r="K14" s="3">
        <f t="shared" ca="1" si="0"/>
        <v>1431.1372846933284</v>
      </c>
      <c r="L14" s="3">
        <f t="shared" ca="1" si="1"/>
        <v>17084.824004933918</v>
      </c>
      <c r="M14" s="3">
        <f t="shared" ca="1" si="2"/>
        <v>125070.99478741214</v>
      </c>
      <c r="N14"/>
    </row>
    <row r="15" spans="1:14" x14ac:dyDescent="0.25">
      <c r="A15" s="5"/>
      <c r="C15" s="2">
        <v>14</v>
      </c>
      <c r="D15" s="5">
        <v>966.39100463303816</v>
      </c>
      <c r="E15" s="5"/>
      <c r="F15" s="2">
        <f>D15*Katelaskelma!$D$41</f>
        <v>11536.713081753529</v>
      </c>
      <c r="G15" s="5">
        <f>D15*Lähtötiedot!$C$11+Katelaskelma!$F$31-Katelaskelma!$F$46</f>
        <v>96095.680742606957</v>
      </c>
      <c r="H15" s="1"/>
      <c r="I15" s="1">
        <v>1.85</v>
      </c>
      <c r="K15" s="3">
        <f t="shared" ca="1" si="0"/>
        <v>1393.4757772013988</v>
      </c>
      <c r="L15" s="3">
        <f t="shared" ca="1" si="1"/>
        <v>16635.223373225133</v>
      </c>
      <c r="M15" s="3">
        <f t="shared" ca="1" si="2"/>
        <v>121779.65281932235</v>
      </c>
      <c r="N15"/>
    </row>
    <row r="16" spans="1:14" x14ac:dyDescent="0.25">
      <c r="A16" s="5"/>
      <c r="C16" s="2">
        <v>15</v>
      </c>
      <c r="D16" s="5">
        <v>741.51175691094545</v>
      </c>
      <c r="E16" s="5"/>
      <c r="F16" s="2">
        <f>D16*Katelaskelma!$D$41</f>
        <v>8852.1192200841488</v>
      </c>
      <c r="G16" s="5">
        <f>D16*Lähtötiedot!$C$11+Katelaskelma!$F$31-Katelaskelma!$F$46</f>
        <v>64162.827566069784</v>
      </c>
      <c r="H16" s="1"/>
      <c r="I16" s="1">
        <v>1.8</v>
      </c>
      <c r="K16" s="3">
        <f t="shared" ca="1" si="0"/>
        <v>1355.814269709469</v>
      </c>
      <c r="L16" s="3">
        <f t="shared" ca="1" si="1"/>
        <v>16185.622741516347</v>
      </c>
      <c r="M16" s="3">
        <f t="shared" ca="1" si="2"/>
        <v>118488.31085123256</v>
      </c>
      <c r="N16"/>
    </row>
    <row r="17" spans="1:14" x14ac:dyDescent="0.25">
      <c r="A17" s="5"/>
      <c r="C17" s="2">
        <v>16</v>
      </c>
      <c r="D17" s="5">
        <v>755.24762793944069</v>
      </c>
      <c r="E17" s="5"/>
      <c r="F17" s="2">
        <f>D17*Katelaskelma!$D$41</f>
        <v>9016.0971567826527</v>
      </c>
      <c r="G17" s="5">
        <f>D17*Lähtötiedot!$C$11+Katelaskelma!$F$31-Katelaskelma!$F$46</f>
        <v>66113.321252116119</v>
      </c>
      <c r="H17" s="1"/>
      <c r="I17" s="1">
        <v>1.75</v>
      </c>
      <c r="K17" s="3">
        <f t="shared" ca="1" si="0"/>
        <v>1318.1527622175392</v>
      </c>
      <c r="L17" s="3">
        <f t="shared" ca="1" si="1"/>
        <v>15736.022109807558</v>
      </c>
      <c r="M17" s="3">
        <f t="shared" ca="1" si="2"/>
        <v>115196.96888314276</v>
      </c>
      <c r="N17"/>
    </row>
    <row r="18" spans="1:14" x14ac:dyDescent="0.25">
      <c r="A18" s="5"/>
      <c r="C18" s="2">
        <v>17</v>
      </c>
      <c r="D18" s="5">
        <v>202.76775458837329</v>
      </c>
      <c r="E18" s="5"/>
      <c r="F18" s="2">
        <f>D18*Katelaskelma!$D$41</f>
        <v>2420.6282919673426</v>
      </c>
      <c r="G18" s="5">
        <f>D18*Lähtötiedot!$C$11+Katelaskelma!$F$31-Katelaskelma!$F$46</f>
        <v>-12338.82076373545</v>
      </c>
      <c r="H18" s="1"/>
      <c r="I18" s="1">
        <v>1.7</v>
      </c>
      <c r="K18" s="3">
        <f t="shared" ca="1" si="0"/>
        <v>1280.4912547256097</v>
      </c>
      <c r="L18" s="3">
        <f t="shared" ca="1" si="1"/>
        <v>15286.421478098771</v>
      </c>
      <c r="M18" s="3">
        <f t="shared" ca="1" si="2"/>
        <v>111905.62691505297</v>
      </c>
      <c r="N18"/>
    </row>
    <row r="19" spans="1:14" x14ac:dyDescent="0.25">
      <c r="A19" s="5"/>
      <c r="C19" s="2">
        <v>18</v>
      </c>
      <c r="D19" s="5">
        <v>1168.5797269215539</v>
      </c>
      <c r="E19" s="5"/>
      <c r="F19" s="2">
        <f>D19*Katelaskelma!$D$41</f>
        <v>13950.428923712025</v>
      </c>
      <c r="G19" s="5">
        <f>D19*Lähtötiedot!$C$11+Katelaskelma!$F$31-Katelaskelma!$F$46</f>
        <v>124806.4793075762</v>
      </c>
      <c r="H19" s="1"/>
      <c r="I19" s="1">
        <v>1.65</v>
      </c>
      <c r="K19" s="3">
        <f t="shared" ca="1" si="0"/>
        <v>1242.8297472336799</v>
      </c>
      <c r="L19" s="3">
        <f t="shared" ca="1" si="1"/>
        <v>14836.820846389983</v>
      </c>
      <c r="M19" s="3">
        <f t="shared" ca="1" si="2"/>
        <v>108614.28494696318</v>
      </c>
      <c r="N19"/>
    </row>
    <row r="20" spans="1:14" x14ac:dyDescent="0.25">
      <c r="A20" s="5"/>
      <c r="C20" s="2">
        <v>19</v>
      </c>
      <c r="D20" s="5">
        <v>771.74145068272469</v>
      </c>
      <c r="E20" s="5"/>
      <c r="F20" s="2">
        <f>D20*Katelaskelma!$D$41</f>
        <v>9212.9993420247683</v>
      </c>
      <c r="G20" s="5">
        <f>D20*Lähtötiedot!$C$11+Katelaskelma!$F$31-Katelaskelma!$F$46</f>
        <v>68455.444081662426</v>
      </c>
      <c r="H20" s="1"/>
      <c r="I20" s="1">
        <v>1.6</v>
      </c>
      <c r="K20" s="3">
        <f t="shared" ca="1" si="0"/>
        <v>1205.1682397417503</v>
      </c>
      <c r="L20" s="3">
        <f t="shared" ca="1" si="1"/>
        <v>14387.220214681198</v>
      </c>
      <c r="M20" s="3">
        <f t="shared" ca="1" si="2"/>
        <v>105322.94297887338</v>
      </c>
      <c r="N20"/>
    </row>
    <row r="21" spans="1:14" x14ac:dyDescent="0.25">
      <c r="A21" s="5"/>
      <c r="C21" s="2">
        <v>20</v>
      </c>
      <c r="D21" s="5">
        <v>1279.8049276261261</v>
      </c>
      <c r="E21" s="5"/>
      <c r="F21" s="2">
        <f>D21*Katelaskelma!$D$41</f>
        <v>15278.228149736849</v>
      </c>
      <c r="G21" s="5">
        <f>D21*Lähtötiedot!$C$11+Katelaskelma!$F$31-Katelaskelma!$F$46</f>
        <v>140600.45780762544</v>
      </c>
      <c r="H21" s="1"/>
      <c r="I21" s="1">
        <v>1.55</v>
      </c>
      <c r="K21" s="3">
        <f t="shared" ca="1" si="0"/>
        <v>1167.5067322498205</v>
      </c>
      <c r="L21" s="3">
        <f t="shared" ca="1" si="1"/>
        <v>13937.619582972409</v>
      </c>
      <c r="M21" s="3">
        <f t="shared" ca="1" si="2"/>
        <v>102031.60101078359</v>
      </c>
      <c r="N21"/>
    </row>
    <row r="22" spans="1:14" x14ac:dyDescent="0.25">
      <c r="A22" s="5"/>
      <c r="C22" s="2">
        <v>21</v>
      </c>
      <c r="D22" s="5">
        <v>645.84761536714791</v>
      </c>
      <c r="E22" s="5"/>
      <c r="F22" s="2">
        <f>D22*Katelaskelma!$D$41</f>
        <v>7710.0869082021354</v>
      </c>
      <c r="G22" s="5">
        <f>D22*Lähtötiedot!$C$11+Katelaskelma!$F$31-Katelaskelma!$F$46</f>
        <v>50578.519466850528</v>
      </c>
      <c r="H22" s="1"/>
      <c r="I22" s="1">
        <v>1.5</v>
      </c>
      <c r="K22" s="3">
        <f t="shared" ca="1" si="0"/>
        <v>1129.8452247578907</v>
      </c>
      <c r="L22" s="3">
        <f t="shared" ca="1" si="1"/>
        <v>13488.018951263621</v>
      </c>
      <c r="M22" s="3">
        <f t="shared" ca="1" si="2"/>
        <v>98740.259042693797</v>
      </c>
      <c r="N22"/>
    </row>
    <row r="23" spans="1:14" x14ac:dyDescent="0.25">
      <c r="A23" s="5"/>
      <c r="C23" s="2">
        <v>22</v>
      </c>
      <c r="D23" s="5">
        <v>1102.2656507888985</v>
      </c>
      <c r="E23" s="5"/>
      <c r="F23" s="2">
        <f>D23*Katelaskelma!$D$41</f>
        <v>13158.775787500857</v>
      </c>
      <c r="G23" s="5">
        <f>D23*Lähtötiedot!$C$11+Katelaskelma!$F$31-Katelaskelma!$F$46</f>
        <v>115389.88049673912</v>
      </c>
      <c r="H23" s="1"/>
      <c r="I23" s="1">
        <v>1.45</v>
      </c>
      <c r="K23" s="3">
        <f t="shared" ca="1" si="0"/>
        <v>1092.1837172659611</v>
      </c>
      <c r="L23" s="3">
        <f t="shared" ca="1" si="1"/>
        <v>13038.418319554834</v>
      </c>
      <c r="M23" s="3">
        <f t="shared" ca="1" si="2"/>
        <v>95448.917074604004</v>
      </c>
      <c r="N23"/>
    </row>
    <row r="24" spans="1:14" x14ac:dyDescent="0.25">
      <c r="A24" s="5"/>
      <c r="C24" s="2">
        <v>23</v>
      </c>
      <c r="D24" s="5">
        <v>1194.7898612444017</v>
      </c>
      <c r="E24" s="5"/>
      <c r="F24" s="2">
        <f>D24*Katelaskelma!$D$41</f>
        <v>14263.323805873864</v>
      </c>
      <c r="G24" s="5">
        <f>D24*Lähtötiedot!$C$11+Katelaskelma!$F$31-Katelaskelma!$F$46</f>
        <v>128528.31838142057</v>
      </c>
      <c r="H24" s="1"/>
      <c r="I24" s="1">
        <v>1.4</v>
      </c>
      <c r="K24" s="3">
        <f t="shared" ca="1" si="0"/>
        <v>1054.5222097740314</v>
      </c>
      <c r="L24" s="3">
        <f t="shared" ca="1" si="1"/>
        <v>12588.817687846045</v>
      </c>
      <c r="M24" s="3">
        <f t="shared" ca="1" si="2"/>
        <v>92157.57510651421</v>
      </c>
      <c r="N24"/>
    </row>
    <row r="25" spans="1:14" x14ac:dyDescent="0.25">
      <c r="A25" s="5"/>
      <c r="C25" s="2">
        <v>24</v>
      </c>
      <c r="D25" s="5">
        <v>1262.1504841573603</v>
      </c>
      <c r="E25" s="5"/>
      <c r="F25" s="2">
        <f>D25*Katelaskelma!$D$41</f>
        <v>15067.470549613565</v>
      </c>
      <c r="G25" s="5">
        <f>D25*Lähtötiedot!$C$11+Katelaskelma!$F$31-Katelaskelma!$F$46</f>
        <v>138093.52683506071</v>
      </c>
      <c r="H25" s="1"/>
      <c r="I25" s="1">
        <v>1.35</v>
      </c>
      <c r="K25" s="3">
        <f t="shared" ca="1" si="0"/>
        <v>1016.8607022821018</v>
      </c>
      <c r="L25" s="3">
        <f t="shared" ca="1" si="1"/>
        <v>12139.21705613726</v>
      </c>
      <c r="M25" s="3">
        <f t="shared" ca="1" si="2"/>
        <v>88866.233138424417</v>
      </c>
      <c r="N25"/>
    </row>
    <row r="26" spans="1:14" x14ac:dyDescent="0.25">
      <c r="A26" s="5"/>
      <c r="C26" s="2">
        <v>25</v>
      </c>
      <c r="D26" s="5">
        <v>452.79048403410235</v>
      </c>
      <c r="E26" s="5"/>
      <c r="F26" s="2">
        <f>D26*Katelaskelma!$D$41</f>
        <v>5405.3834063090335</v>
      </c>
      <c r="G26" s="5">
        <f>D26*Lähtötiedot!$C$11+Katelaskelma!$F$31-Katelaskelma!$F$46</f>
        <v>23164.406817558076</v>
      </c>
      <c r="H26" s="1"/>
      <c r="I26" s="1">
        <v>1.3</v>
      </c>
      <c r="K26" s="3">
        <f t="shared" ca="1" si="0"/>
        <v>979.1991947901721</v>
      </c>
      <c r="L26" s="3">
        <f t="shared" ca="1" si="1"/>
        <v>11689.616424428472</v>
      </c>
      <c r="M26" s="3">
        <f t="shared" ca="1" si="2"/>
        <v>85574.891170334624</v>
      </c>
      <c r="N26"/>
    </row>
    <row r="27" spans="1:14" x14ac:dyDescent="0.25">
      <c r="A27" s="5"/>
      <c r="C27" s="2">
        <v>26</v>
      </c>
      <c r="D27" s="5">
        <v>1049.2255383499585</v>
      </c>
      <c r="E27" s="5"/>
      <c r="F27" s="2">
        <f>D27*Katelaskelma!$D$41</f>
        <v>12525.586368209488</v>
      </c>
      <c r="G27" s="5">
        <f>D27*Lähtötiedot!$C$11+Katelaskelma!$F$31-Katelaskelma!$F$46</f>
        <v>107858.18453040964</v>
      </c>
      <c r="H27" s="1"/>
      <c r="I27" s="1">
        <v>1.25</v>
      </c>
      <c r="K27" s="3">
        <f t="shared" ca="1" si="0"/>
        <v>941.53768729824242</v>
      </c>
      <c r="L27" s="3">
        <f t="shared" ca="1" si="1"/>
        <v>11240.015792719685</v>
      </c>
      <c r="M27" s="3">
        <f t="shared" ca="1" si="2"/>
        <v>82283.549202244831</v>
      </c>
      <c r="N27"/>
    </row>
    <row r="28" spans="1:14" x14ac:dyDescent="0.25">
      <c r="A28" s="5"/>
      <c r="C28" s="2">
        <v>27</v>
      </c>
      <c r="D28" s="5">
        <v>921.61102311451782</v>
      </c>
      <c r="E28" s="5"/>
      <c r="F28" s="2">
        <f>D28*Katelaskelma!$D$41</f>
        <v>11002.1325691984</v>
      </c>
      <c r="G28" s="5">
        <f>D28*Lähtötiedot!$C$11+Katelaskelma!$F$31-Katelaskelma!$F$46</f>
        <v>89736.923366977077</v>
      </c>
      <c r="H28" s="1"/>
      <c r="I28" s="1">
        <v>1.2</v>
      </c>
      <c r="K28" s="3">
        <f t="shared" ca="1" si="0"/>
        <v>903.87617980631262</v>
      </c>
      <c r="L28" s="3">
        <f t="shared" ca="1" si="1"/>
        <v>10790.415161010897</v>
      </c>
      <c r="M28" s="3">
        <f t="shared" ca="1" si="2"/>
        <v>78992.207234155037</v>
      </c>
      <c r="N28"/>
    </row>
    <row r="29" spans="1:14" x14ac:dyDescent="0.25">
      <c r="A29" s="5"/>
      <c r="C29" s="2">
        <v>28</v>
      </c>
      <c r="D29" s="5">
        <v>623.60292456272259</v>
      </c>
      <c r="E29" s="5"/>
      <c r="F29" s="2">
        <f>D29*Katelaskelma!$D$41</f>
        <v>7444.5312333535012</v>
      </c>
      <c r="G29" s="5">
        <f>D29*Lähtötiedot!$C$11+Katelaskelma!$F$31-Katelaskelma!$F$46</f>
        <v>47419.773372622149</v>
      </c>
      <c r="H29" s="1"/>
      <c r="I29" s="1">
        <v>1.1499999999999999</v>
      </c>
      <c r="K29" s="3">
        <f t="shared" ca="1" si="0"/>
        <v>866.21467231438294</v>
      </c>
      <c r="L29" s="3">
        <f t="shared" ca="1" si="1"/>
        <v>10340.81452930211</v>
      </c>
      <c r="M29" s="3">
        <f t="shared" ca="1" si="2"/>
        <v>75700.865266065244</v>
      </c>
      <c r="N29"/>
    </row>
    <row r="30" spans="1:14" x14ac:dyDescent="0.25">
      <c r="A30" s="5"/>
      <c r="C30" s="2">
        <v>29</v>
      </c>
      <c r="D30" s="5">
        <v>714.44157827941376</v>
      </c>
      <c r="E30" s="5"/>
      <c r="F30" s="2">
        <f>D30*Katelaskelma!$D$41</f>
        <v>8528.9571847934913</v>
      </c>
      <c r="G30" s="5">
        <f>D30*Lähtötiedot!$C$11+Katelaskelma!$F$31-Katelaskelma!$F$46</f>
        <v>60318.862200392294</v>
      </c>
      <c r="H30" s="1"/>
      <c r="I30">
        <v>1.1000000000000001</v>
      </c>
      <c r="J30"/>
      <c r="K30" s="14">
        <f t="shared" ca="1" si="0"/>
        <v>828.55316482245337</v>
      </c>
      <c r="L30" s="3">
        <f t="shared" ca="1" si="1"/>
        <v>9891.2138975933231</v>
      </c>
      <c r="M30" s="3">
        <f t="shared" ca="1" si="2"/>
        <v>72409.523297975451</v>
      </c>
      <c r="N30"/>
    </row>
    <row r="31" spans="1:14" x14ac:dyDescent="0.25">
      <c r="A31" s="5"/>
      <c r="C31" s="2">
        <v>30</v>
      </c>
      <c r="D31" s="5">
        <v>534.83992457855516</v>
      </c>
      <c r="E31" s="5"/>
      <c r="F31" s="2">
        <f>D31*Katelaskelma!$D$41</f>
        <v>6384.8843014350041</v>
      </c>
      <c r="G31" s="5">
        <f>D31*Lähtötiedot!$C$11+Katelaskelma!$F$31-Katelaskelma!$F$46</f>
        <v>34815.427374870371</v>
      </c>
      <c r="H31" s="1"/>
      <c r="I31">
        <v>1.05</v>
      </c>
      <c r="J31"/>
      <c r="K31" s="14">
        <f t="shared" ca="1" si="0"/>
        <v>790.89165733052357</v>
      </c>
      <c r="L31" s="3">
        <f t="shared" ca="1" si="1"/>
        <v>9441.6132658845363</v>
      </c>
      <c r="M31" s="3">
        <f t="shared" ca="1" si="2"/>
        <v>69118.181329885658</v>
      </c>
      <c r="N31"/>
    </row>
    <row r="32" spans="1:14" x14ac:dyDescent="0.25">
      <c r="A32" s="5"/>
      <c r="C32" s="2">
        <v>31</v>
      </c>
      <c r="D32" s="5">
        <v>935.18574312488977</v>
      </c>
      <c r="E32" s="5"/>
      <c r="F32" s="2">
        <f>D32*Katelaskelma!$D$41</f>
        <v>11164.186695503382</v>
      </c>
      <c r="G32" s="5">
        <f>D32*Lähtötiedot!$C$11+Katelaskelma!$F$31-Katelaskelma!$F$46</f>
        <v>91664.533608449885</v>
      </c>
      <c r="H32" s="1"/>
      <c r="I32">
        <v>1</v>
      </c>
      <c r="J32"/>
      <c r="K32" s="14">
        <f t="shared" ca="1" si="0"/>
        <v>753.23014983859389</v>
      </c>
      <c r="L32" s="3">
        <f t="shared" ca="1" si="1"/>
        <v>8992.0126341757477</v>
      </c>
      <c r="M32" s="3">
        <f t="shared" ca="1" si="2"/>
        <v>65826.839361795865</v>
      </c>
      <c r="N32"/>
    </row>
    <row r="33" spans="1:14" x14ac:dyDescent="0.25">
      <c r="A33" s="5"/>
      <c r="C33" s="2">
        <v>32</v>
      </c>
      <c r="D33" s="5">
        <v>1284.2944322152555</v>
      </c>
      <c r="E33" s="5"/>
      <c r="F33" s="2">
        <f>D33*Katelaskelma!$D$41</f>
        <v>15331.823564093658</v>
      </c>
      <c r="G33" s="5">
        <f>D33*Lähtötiedot!$C$11+Katelaskelma!$F$31-Katelaskelma!$F$46</f>
        <v>141237.96745928182</v>
      </c>
      <c r="H33" s="1"/>
      <c r="I33">
        <f>I32-0.05</f>
        <v>0.95</v>
      </c>
      <c r="J33"/>
      <c r="K33" s="14">
        <f t="shared" ref="K33:K52" ca="1" si="3">$K$2*I33</f>
        <v>715.56864234666421</v>
      </c>
      <c r="L33" s="3">
        <f t="shared" ca="1" si="1"/>
        <v>8542.4120024669592</v>
      </c>
      <c r="M33" s="3">
        <f t="shared" ca="1" si="2"/>
        <v>62535.497393706071</v>
      </c>
      <c r="N33"/>
    </row>
    <row r="34" spans="1:14" x14ac:dyDescent="0.25">
      <c r="A34" s="5"/>
      <c r="C34" s="2">
        <v>33</v>
      </c>
      <c r="D34" s="5">
        <v>277.23039545976127</v>
      </c>
      <c r="E34" s="5"/>
      <c r="F34" s="2">
        <f>D34*Katelaskelma!$D$41</f>
        <v>3309.5584650798914</v>
      </c>
      <c r="G34" s="5">
        <f>D34*Lähtötiedot!$C$11+Katelaskelma!$F$31-Katelaskelma!$F$46</f>
        <v>-1765.1257599983655</v>
      </c>
      <c r="H34" s="1"/>
      <c r="I34">
        <f t="shared" ref="I34:I52" si="4">I33-0.05</f>
        <v>0.89999999999999991</v>
      </c>
      <c r="J34"/>
      <c r="K34" s="14">
        <f t="shared" ca="1" si="3"/>
        <v>677.90713485473441</v>
      </c>
      <c r="L34" s="3">
        <f t="shared" ca="1" si="1"/>
        <v>8092.8113707581724</v>
      </c>
      <c r="M34" s="3">
        <f t="shared" ca="1" si="2"/>
        <v>59244.155425616271</v>
      </c>
      <c r="N34"/>
    </row>
    <row r="35" spans="1:14" x14ac:dyDescent="0.25">
      <c r="A35" s="5"/>
      <c r="C35" s="2">
        <v>34</v>
      </c>
      <c r="D35" s="5">
        <v>598.90335303527831</v>
      </c>
      <c r="E35" s="5"/>
      <c r="F35" s="2">
        <f>D35*Katelaskelma!$D$41</f>
        <v>7149.6693517876893</v>
      </c>
      <c r="G35" s="5">
        <f>D35*Lähtötiedot!$C$11+Katelaskelma!$F$31-Katelaskelma!$F$46</f>
        <v>43912.43421572505</v>
      </c>
      <c r="H35" s="1"/>
      <c r="I35" s="3">
        <f t="shared" si="4"/>
        <v>0.84999999999999987</v>
      </c>
      <c r="J35" s="3"/>
      <c r="K35" s="3">
        <f t="shared" ca="1" si="3"/>
        <v>640.24562736280473</v>
      </c>
      <c r="L35" s="3">
        <f t="shared" ca="1" si="1"/>
        <v>7643.2107390493848</v>
      </c>
      <c r="M35" s="3">
        <f t="shared" ca="1" si="2"/>
        <v>55952.813457526478</v>
      </c>
      <c r="N35"/>
    </row>
    <row r="36" spans="1:14" x14ac:dyDescent="0.25">
      <c r="A36" s="5"/>
      <c r="C36" s="2">
        <v>35</v>
      </c>
      <c r="D36" s="5">
        <v>932.43843751094187</v>
      </c>
      <c r="E36" s="5"/>
      <c r="F36" s="2">
        <f>D36*Katelaskelma!$D$41</f>
        <v>11131.389539420536</v>
      </c>
      <c r="G36" s="5">
        <f>D36*Lähtötiedot!$C$11+Katelaskelma!$F$31-Katelaskelma!$F$46</f>
        <v>91274.416211269301</v>
      </c>
      <c r="H36" s="1"/>
      <c r="I36" s="3">
        <f t="shared" si="4"/>
        <v>0.79999999999999982</v>
      </c>
      <c r="J36" s="3"/>
      <c r="K36" s="3">
        <f t="shared" ca="1" si="3"/>
        <v>602.58411987087493</v>
      </c>
      <c r="L36" s="3">
        <f t="shared" ca="1" si="1"/>
        <v>7193.6101073405962</v>
      </c>
      <c r="M36" s="3">
        <f t="shared" ca="1" si="2"/>
        <v>52661.471489436677</v>
      </c>
      <c r="N36"/>
    </row>
    <row r="37" spans="1:14" x14ac:dyDescent="0.25">
      <c r="A37" s="5"/>
      <c r="C37" s="2">
        <v>36</v>
      </c>
      <c r="D37" s="5">
        <v>1190.2380842760374</v>
      </c>
      <c r="E37" s="5"/>
      <c r="F37" s="2">
        <f>D37*Katelaskelma!$D$41</f>
        <v>14208.984987896049</v>
      </c>
      <c r="G37" s="5">
        <f>D37*Lähtötiedot!$C$11+Katelaskelma!$F$31-Katelaskelma!$F$46</f>
        <v>127881.96605191287</v>
      </c>
      <c r="H37" s="1"/>
      <c r="I37" s="3">
        <f t="shared" si="4"/>
        <v>0.74999999999999978</v>
      </c>
      <c r="J37" s="3"/>
      <c r="K37" s="3">
        <f t="shared" ca="1" si="3"/>
        <v>564.92261237894525</v>
      </c>
      <c r="L37" s="3">
        <f t="shared" ca="1" si="1"/>
        <v>6744.0094756318085</v>
      </c>
      <c r="M37" s="3">
        <f t="shared" ca="1" si="2"/>
        <v>49370.129521346884</v>
      </c>
      <c r="N37"/>
    </row>
    <row r="38" spans="1:14" x14ac:dyDescent="0.25">
      <c r="A38" s="5"/>
      <c r="C38" s="2">
        <v>37</v>
      </c>
      <c r="D38" s="5">
        <v>174.68427017958385</v>
      </c>
      <c r="E38" s="5"/>
      <c r="F38" s="2">
        <f>D38*Katelaskelma!$D$41</f>
        <v>2085.3694780847259</v>
      </c>
      <c r="G38" s="5">
        <f>D38*Lähtötiedot!$C$11+Katelaskelma!$F$31-Katelaskelma!$F$46</f>
        <v>-16326.675549783555</v>
      </c>
      <c r="H38" s="1"/>
      <c r="I38" s="3">
        <f t="shared" si="4"/>
        <v>0.69999999999999973</v>
      </c>
      <c r="J38" s="3"/>
      <c r="K38" s="3">
        <f t="shared" ca="1" si="3"/>
        <v>527.26110488701556</v>
      </c>
      <c r="L38" s="3">
        <f t="shared" ca="1" si="1"/>
        <v>6294.4088439230209</v>
      </c>
      <c r="M38" s="3">
        <f t="shared" ca="1" si="2"/>
        <v>46078.787553257091</v>
      </c>
      <c r="N38"/>
    </row>
    <row r="39" spans="1:14" x14ac:dyDescent="0.25">
      <c r="A39" s="5"/>
      <c r="C39" s="2">
        <v>38</v>
      </c>
      <c r="D39" s="5">
        <v>875.34223513245638</v>
      </c>
      <c r="E39" s="5"/>
      <c r="F39" s="2">
        <f>D39*Katelaskelma!$D$41</f>
        <v>10449.778781724746</v>
      </c>
      <c r="G39" s="5">
        <f>D39*Lähtötiedot!$C$11+Katelaskelma!$F$31-Katelaskelma!$F$46</f>
        <v>83166.755473524332</v>
      </c>
      <c r="H39" s="1"/>
      <c r="I39" s="3">
        <f t="shared" si="4"/>
        <v>0.64999999999999969</v>
      </c>
      <c r="J39" s="3"/>
      <c r="K39" s="3">
        <f t="shared" ca="1" si="3"/>
        <v>489.59959739508577</v>
      </c>
      <c r="L39" s="3">
        <f t="shared" ca="1" si="1"/>
        <v>5844.8082122142332</v>
      </c>
      <c r="M39" s="3">
        <f t="shared" ca="1" si="2"/>
        <v>42787.44558516729</v>
      </c>
      <c r="N39"/>
    </row>
    <row r="40" spans="1:14" x14ac:dyDescent="0.25">
      <c r="A40" s="5"/>
      <c r="C40" s="2">
        <v>39</v>
      </c>
      <c r="D40" s="5">
        <v>438.92674393390627</v>
      </c>
      <c r="E40" s="5"/>
      <c r="F40" s="2">
        <f>D40*Katelaskelma!$D$41</f>
        <v>5239.8789769329587</v>
      </c>
      <c r="G40" s="5">
        <f>D40*Lähtötiedot!$C$11+Katelaskelma!$F$31-Katelaskelma!$F$46</f>
        <v>21195.755723330221</v>
      </c>
      <c r="H40" s="1"/>
      <c r="I40" s="3">
        <f t="shared" si="4"/>
        <v>0.59999999999999964</v>
      </c>
      <c r="J40" s="3"/>
      <c r="K40" s="3">
        <f t="shared" ca="1" si="3"/>
        <v>451.93808990315608</v>
      </c>
      <c r="L40" s="3">
        <f t="shared" ca="1" si="1"/>
        <v>5395.2075805054455</v>
      </c>
      <c r="M40" s="3">
        <f t="shared" ca="1" si="2"/>
        <v>39496.103617077497</v>
      </c>
      <c r="N40"/>
    </row>
    <row r="41" spans="1:14" x14ac:dyDescent="0.25">
      <c r="A41" s="5"/>
      <c r="C41" s="2">
        <v>40</v>
      </c>
      <c r="D41" s="5">
        <v>495.73162285970585</v>
      </c>
      <c r="E41" s="5"/>
      <c r="F41" s="2">
        <f>D41*Katelaskelma!$D$41</f>
        <v>5918.0119341613281</v>
      </c>
      <c r="G41" s="5">
        <f>D41*Lähtötiedot!$C$11+Katelaskelma!$F$31-Katelaskelma!$F$46</f>
        <v>29262.048530793778</v>
      </c>
      <c r="H41" s="1"/>
      <c r="I41" s="3">
        <f t="shared" si="4"/>
        <v>0.5499999999999996</v>
      </c>
      <c r="J41" s="3"/>
      <c r="K41" s="3">
        <f t="shared" ca="1" si="3"/>
        <v>414.27658241122634</v>
      </c>
      <c r="L41" s="3">
        <f t="shared" ca="1" si="1"/>
        <v>4945.6069487966579</v>
      </c>
      <c r="M41" s="3">
        <f t="shared" ca="1" si="2"/>
        <v>36204.761648987696</v>
      </c>
      <c r="N41"/>
    </row>
    <row r="42" spans="1:14" x14ac:dyDescent="0.25">
      <c r="A42" s="5"/>
      <c r="C42" s="2">
        <v>41</v>
      </c>
      <c r="D42" s="5">
        <v>317.20184117008768</v>
      </c>
      <c r="E42" s="5"/>
      <c r="F42" s="2">
        <f>D42*Katelaskelma!$D$41</f>
        <v>3786.7349892943621</v>
      </c>
      <c r="G42" s="5">
        <f>D42*Lähtötiedot!$C$11+Katelaskelma!$F$31-Katelaskelma!$F$46</f>
        <v>3910.819530867986</v>
      </c>
      <c r="H42" s="1"/>
      <c r="I42" s="3">
        <f t="shared" si="4"/>
        <v>0.49999999999999961</v>
      </c>
      <c r="J42" s="3"/>
      <c r="K42" s="3">
        <f t="shared" ca="1" si="3"/>
        <v>376.61507491929666</v>
      </c>
      <c r="L42" s="3">
        <f t="shared" ca="1" si="1"/>
        <v>4496.0063170878702</v>
      </c>
      <c r="M42" s="3">
        <f t="shared" ca="1" si="2"/>
        <v>32913.419680897903</v>
      </c>
      <c r="N42"/>
    </row>
    <row r="43" spans="1:14" x14ac:dyDescent="0.25">
      <c r="A43" s="5"/>
      <c r="C43" s="2">
        <v>42</v>
      </c>
      <c r="D43" s="5">
        <v>1149.5287135309275</v>
      </c>
      <c r="E43" s="5"/>
      <c r="F43" s="2">
        <f>D43*Katelaskelma!$D$41</f>
        <v>13722.999162517424</v>
      </c>
      <c r="G43" s="5">
        <f>D43*Lähtötiedot!$C$11+Katelaskelma!$F$31-Katelaskelma!$F$46</f>
        <v>122101.23540610724</v>
      </c>
      <c r="H43" s="1"/>
      <c r="I43" s="3">
        <f t="shared" si="4"/>
        <v>0.44999999999999962</v>
      </c>
      <c r="J43" s="3"/>
      <c r="K43" s="3">
        <f t="shared" ca="1" si="3"/>
        <v>338.95356742736698</v>
      </c>
      <c r="L43" s="3">
        <f t="shared" ca="1" si="1"/>
        <v>4046.405685379083</v>
      </c>
      <c r="M43" s="3">
        <f t="shared" ca="1" si="2"/>
        <v>29622.077712808114</v>
      </c>
      <c r="N43"/>
    </row>
    <row r="44" spans="1:14" x14ac:dyDescent="0.25">
      <c r="A44" s="5"/>
      <c r="C44" s="2">
        <v>43</v>
      </c>
      <c r="D44" s="5">
        <v>1326.122264751172</v>
      </c>
      <c r="E44" s="5"/>
      <c r="F44" s="2">
        <f>D44*Katelaskelma!$D$41</f>
        <v>15831.161513727971</v>
      </c>
      <c r="G44" s="5">
        <f>D44*Lähtötiedot!$C$11+Katelaskelma!$F$31-Katelaskelma!$F$46</f>
        <v>147177.51967938198</v>
      </c>
      <c r="H44" s="1"/>
      <c r="I44" s="3">
        <f t="shared" si="4"/>
        <v>0.39999999999999963</v>
      </c>
      <c r="J44" s="3"/>
      <c r="K44" s="3">
        <f t="shared" ca="1" si="3"/>
        <v>301.29205993543729</v>
      </c>
      <c r="L44" s="3">
        <f t="shared" ca="1" si="1"/>
        <v>3596.8050536702958</v>
      </c>
      <c r="M44" s="3">
        <f t="shared" ca="1" si="2"/>
        <v>26330.73574471832</v>
      </c>
      <c r="N44"/>
    </row>
    <row r="45" spans="1:14" x14ac:dyDescent="0.25">
      <c r="A45" s="5"/>
      <c r="C45" s="2">
        <v>44</v>
      </c>
      <c r="D45" s="5">
        <v>900.95463657808409</v>
      </c>
      <c r="E45" s="5"/>
      <c r="F45" s="2">
        <f>D45*Katelaskelma!$D$41</f>
        <v>10755.537967599099</v>
      </c>
      <c r="G45" s="5">
        <f>D45*Lähtötiedot!$C$11+Katelaskelma!$F$31-Katelaskelma!$F$46</f>
        <v>86803.716478803486</v>
      </c>
      <c r="H45" s="1"/>
      <c r="I45" s="3">
        <f t="shared" si="4"/>
        <v>0.34999999999999964</v>
      </c>
      <c r="J45" s="3"/>
      <c r="K45" s="3">
        <f t="shared" ca="1" si="3"/>
        <v>263.63055244350761</v>
      </c>
      <c r="L45" s="3">
        <f t="shared" ca="1" si="1"/>
        <v>3147.2044219615086</v>
      </c>
      <c r="M45" s="3">
        <f t="shared" ca="1" si="2"/>
        <v>23039.393776628531</v>
      </c>
      <c r="N45"/>
    </row>
    <row r="46" spans="1:14" x14ac:dyDescent="0.25">
      <c r="A46" s="5"/>
      <c r="C46" s="2">
        <v>45</v>
      </c>
      <c r="D46" s="5">
        <v>984.89357735301951</v>
      </c>
      <c r="E46" s="5"/>
      <c r="F46" s="2">
        <f>D46*Katelaskelma!$D$41</f>
        <v>11757.59559382302</v>
      </c>
      <c r="G46" s="5">
        <f>D46*Lähtötiedot!$C$11+Katelaskelma!$F$31-Katelaskelma!$F$46</f>
        <v>98723.046068844298</v>
      </c>
      <c r="H46" s="1"/>
      <c r="I46" s="3">
        <f t="shared" si="4"/>
        <v>0.29999999999999966</v>
      </c>
      <c r="J46" s="3"/>
      <c r="K46" s="3">
        <f t="shared" ca="1" si="3"/>
        <v>225.9690449515779</v>
      </c>
      <c r="L46" s="3">
        <f t="shared" ca="1" si="1"/>
        <v>2697.6037902527214</v>
      </c>
      <c r="M46" s="3">
        <f t="shared" ca="1" si="2"/>
        <v>19748.051808538738</v>
      </c>
      <c r="N46"/>
    </row>
    <row r="47" spans="1:14" x14ac:dyDescent="0.25">
      <c r="A47" s="5"/>
      <c r="C47" s="2">
        <v>46</v>
      </c>
      <c r="D47" s="5">
        <v>891.30332767370578</v>
      </c>
      <c r="E47" s="5"/>
      <c r="F47" s="2">
        <f>D47*Katelaskelma!$D$41</f>
        <v>10640.321268396207</v>
      </c>
      <c r="G47" s="5">
        <f>D47*Lähtötiedot!$C$11+Katelaskelma!$F$31-Katelaskelma!$F$46</f>
        <v>85433.230614381755</v>
      </c>
      <c r="H47" s="1"/>
      <c r="I47" s="3">
        <f t="shared" si="4"/>
        <v>0.24999999999999967</v>
      </c>
      <c r="J47" s="3"/>
      <c r="K47" s="3">
        <f t="shared" ca="1" si="3"/>
        <v>188.30753745964822</v>
      </c>
      <c r="L47" s="3">
        <f t="shared" ca="1" si="1"/>
        <v>2248.0031585439338</v>
      </c>
      <c r="M47" s="3">
        <f t="shared" ca="1" si="2"/>
        <v>16456.709840448944</v>
      </c>
      <c r="N47"/>
    </row>
    <row r="48" spans="1:14" x14ac:dyDescent="0.25">
      <c r="A48" s="5"/>
      <c r="C48" s="2">
        <v>47</v>
      </c>
      <c r="D48" s="5">
        <v>720.69574750059769</v>
      </c>
      <c r="E48" s="5"/>
      <c r="F48" s="2">
        <f>D48*Katelaskelma!$D$41</f>
        <v>8603.619050977697</v>
      </c>
      <c r="G48" s="5">
        <f>D48*Lähtötiedot!$C$11+Katelaskelma!$F$31-Katelaskelma!$F$46</f>
        <v>61206.954229800409</v>
      </c>
      <c r="H48" s="1"/>
      <c r="I48" s="3">
        <f t="shared" si="4"/>
        <v>0.19999999999999968</v>
      </c>
      <c r="J48" s="3"/>
      <c r="K48" s="3">
        <f t="shared" ca="1" si="3"/>
        <v>150.64602996771853</v>
      </c>
      <c r="L48" s="3">
        <f t="shared" ca="1" si="1"/>
        <v>1798.4025268351465</v>
      </c>
      <c r="M48" s="3">
        <f t="shared" ca="1" si="2"/>
        <v>13165.367872359151</v>
      </c>
      <c r="N48"/>
    </row>
    <row r="49" spans="1:14" x14ac:dyDescent="0.25">
      <c r="A49" s="5"/>
      <c r="C49" s="2">
        <v>48</v>
      </c>
      <c r="D49" s="5">
        <v>674.4761505875756</v>
      </c>
      <c r="E49" s="5"/>
      <c r="F49" s="2">
        <f>D49*Katelaskelma!$D$41</f>
        <v>8051.8525032930838</v>
      </c>
      <c r="G49" s="5">
        <f>D49*Lähtötiedot!$C$11+Katelaskelma!$F$31-Katelaskelma!$F$46</f>
        <v>54643.771468151273</v>
      </c>
      <c r="H49" s="1"/>
      <c r="I49" s="3">
        <f t="shared" si="4"/>
        <v>0.14999999999999969</v>
      </c>
      <c r="J49" s="3"/>
      <c r="K49" s="3">
        <f t="shared" ca="1" si="3"/>
        <v>112.98452247578885</v>
      </c>
      <c r="L49" s="3">
        <f t="shared" ca="1" si="1"/>
        <v>1348.8018951263593</v>
      </c>
      <c r="M49" s="3">
        <f t="shared" ca="1" si="2"/>
        <v>9874.0259042693597</v>
      </c>
      <c r="N49"/>
    </row>
    <row r="50" spans="1:14" x14ac:dyDescent="0.25">
      <c r="A50" s="5"/>
      <c r="C50" s="2">
        <v>49</v>
      </c>
      <c r="D50" s="5">
        <v>570.83927436747831</v>
      </c>
      <c r="E50" s="5"/>
      <c r="F50" s="2">
        <f>D50*Katelaskelma!$D$41</f>
        <v>6814.6422023813157</v>
      </c>
      <c r="G50" s="5">
        <f>D50*Lähtötiedot!$C$11+Katelaskelma!$F$31-Katelaskelma!$F$46</f>
        <v>39927.335044897452</v>
      </c>
      <c r="H50" s="1"/>
      <c r="I50" s="3">
        <f t="shared" si="4"/>
        <v>9.9999999999999686E-2</v>
      </c>
      <c r="J50" s="3"/>
      <c r="K50" s="3">
        <f t="shared" ca="1" si="3"/>
        <v>75.323014983859153</v>
      </c>
      <c r="L50" s="3">
        <f t="shared" ca="1" si="1"/>
        <v>899.20126341757191</v>
      </c>
      <c r="M50" s="3">
        <f t="shared" ca="1" si="2"/>
        <v>6582.6839361795655</v>
      </c>
      <c r="N50"/>
    </row>
    <row r="51" spans="1:14" x14ac:dyDescent="0.25">
      <c r="A51" s="5"/>
      <c r="C51" s="2">
        <v>50</v>
      </c>
      <c r="D51" s="5">
        <v>967.94359934761337</v>
      </c>
      <c r="E51" s="5"/>
      <c r="F51" s="2">
        <f>D51*Katelaskelma!$D$41</f>
        <v>11555.2478566722</v>
      </c>
      <c r="G51" s="5">
        <f>D51*Lähtötiedot!$C$11+Katelaskelma!$F$31-Katelaskelma!$F$46</f>
        <v>96316.149192076642</v>
      </c>
      <c r="H51" s="1"/>
      <c r="I51" s="3">
        <f t="shared" si="4"/>
        <v>4.9999999999999684E-2</v>
      </c>
      <c r="J51" s="3"/>
      <c r="K51" s="3">
        <f t="shared" ca="1" si="3"/>
        <v>37.661507491929456</v>
      </c>
      <c r="L51" s="3">
        <f t="shared" ca="1" si="1"/>
        <v>449.60063170878453</v>
      </c>
      <c r="M51" s="3">
        <f t="shared" ca="1" si="2"/>
        <v>3291.3419680897723</v>
      </c>
      <c r="N51"/>
    </row>
    <row r="52" spans="1:14" x14ac:dyDescent="0.25">
      <c r="A52" s="5"/>
      <c r="C52" s="2">
        <v>51</v>
      </c>
      <c r="D52" s="5">
        <v>358.91471569500237</v>
      </c>
      <c r="E52" s="5"/>
      <c r="F52" s="2">
        <f>D52*Katelaskelma!$D$41</f>
        <v>4284.7005776556289</v>
      </c>
      <c r="G52" s="5">
        <f>D52*Lähtötiedot!$C$11+Katelaskelma!$F$31-Katelaskelma!$F$46</f>
        <v>9834.0477134058747</v>
      </c>
      <c r="H52" s="1"/>
      <c r="I52" s="3">
        <f t="shared" si="4"/>
        <v>-3.1918911957973251E-16</v>
      </c>
      <c r="J52" s="3"/>
      <c r="K52" s="3">
        <f t="shared" ca="1" si="3"/>
        <v>-2.4042286836789076E-13</v>
      </c>
      <c r="L52" s="3">
        <f t="shared" ca="1" si="1"/>
        <v>-2.8701525959523881E-12</v>
      </c>
      <c r="M52" s="3">
        <f t="shared" ca="1" si="2"/>
        <v>-2.1011210900608102E-11</v>
      </c>
    </row>
    <row r="53" spans="1:14" x14ac:dyDescent="0.25">
      <c r="A53" s="5"/>
      <c r="C53" s="2">
        <v>52</v>
      </c>
      <c r="D53" s="5">
        <v>580.70414480602062</v>
      </c>
      <c r="E53" s="5"/>
      <c r="F53" s="2">
        <f>D53*Katelaskelma!$D$41</f>
        <v>6932.4083853160901</v>
      </c>
      <c r="G53" s="5">
        <f>D53*Lähtötiedot!$C$11+Katelaskelma!$F$31-Katelaskelma!$F$46</f>
        <v>41328.146647170477</v>
      </c>
      <c r="H53" s="1"/>
    </row>
    <row r="54" spans="1:14" x14ac:dyDescent="0.25">
      <c r="A54" s="5"/>
      <c r="C54" s="2">
        <v>53</v>
      </c>
      <c r="D54" s="5">
        <v>588.02543230739434</v>
      </c>
      <c r="E54" s="5"/>
      <c r="F54" s="2">
        <f>D54*Katelaskelma!$D$41</f>
        <v>7019.8094402591141</v>
      </c>
      <c r="G54" s="5">
        <f>D54*Lähtötiedot!$C$11+Katelaskelma!$F$31-Katelaskelma!$F$46</f>
        <v>42367.76947236553</v>
      </c>
      <c r="H54" s="1"/>
    </row>
    <row r="55" spans="1:14" x14ac:dyDescent="0.25">
      <c r="A55" s="5"/>
      <c r="C55" s="2">
        <v>54</v>
      </c>
      <c r="D55" s="5">
        <v>780.77005293401885</v>
      </c>
      <c r="E55" s="5"/>
      <c r="F55" s="2">
        <f>D55*Katelaskelma!$D$41</f>
        <v>9320.7822096250384</v>
      </c>
      <c r="G55" s="5">
        <f>D55*Lähtötiedot!$C$11+Katelaskelma!$F$31-Katelaskelma!$F$46</f>
        <v>69737.505601346202</v>
      </c>
      <c r="H55" s="1"/>
    </row>
    <row r="56" spans="1:14" ht="14.25" customHeight="1" x14ac:dyDescent="0.25">
      <c r="A56" s="5"/>
      <c r="C56" s="2">
        <v>55</v>
      </c>
      <c r="D56" s="5">
        <v>1142.3569136158505</v>
      </c>
      <c r="E56" s="5"/>
      <c r="F56" s="2">
        <f>D56*Katelaskelma!$D$41</f>
        <v>13637.382680675892</v>
      </c>
      <c r="G56" s="5">
        <f>D56*Lähtötiedot!$C$11+Katelaskelma!$F$31-Katelaskelma!$F$46</f>
        <v>121082.83981816631</v>
      </c>
      <c r="H56" s="1"/>
    </row>
    <row r="57" spans="1:14" x14ac:dyDescent="0.25">
      <c r="A57" s="5"/>
      <c r="C57" s="2">
        <v>56</v>
      </c>
      <c r="D57" s="5">
        <v>849.8744862910969</v>
      </c>
      <c r="E57" s="5"/>
      <c r="F57" s="2">
        <f>D57*Katelaskelma!$D$41</f>
        <v>10145.74644925028</v>
      </c>
      <c r="G57" s="5">
        <f>D57*Lähtötiedot!$C$11+Katelaskelma!$F$31-Katelaskelma!$F$46</f>
        <v>79550.335138051305</v>
      </c>
      <c r="H57" s="1"/>
      <c r="I57" s="1" t="s">
        <v>117</v>
      </c>
    </row>
    <row r="58" spans="1:14" x14ac:dyDescent="0.25">
      <c r="A58" s="5"/>
      <c r="C58" s="2">
        <v>57</v>
      </c>
      <c r="D58" s="5">
        <v>544.81478132836105</v>
      </c>
      <c r="E58" s="5"/>
      <c r="F58" s="2">
        <f>D58*Katelaskelma!$D$41</f>
        <v>6503.9634938140771</v>
      </c>
      <c r="G58" s="5">
        <f>D58*Lähtötiedot!$C$11+Katelaskelma!$F$31-Katelaskelma!$F$46</f>
        <v>36231.857033342792</v>
      </c>
      <c r="H58" s="1"/>
      <c r="I58" s="3"/>
      <c r="J58" s="3"/>
      <c r="K58" s="3"/>
    </row>
    <row r="59" spans="1:14" x14ac:dyDescent="0.25">
      <c r="A59" s="5"/>
      <c r="C59" s="2">
        <v>58</v>
      </c>
      <c r="D59" s="5">
        <v>965.10618595443725</v>
      </c>
      <c r="E59" s="5"/>
      <c r="F59" s="2">
        <f>D59*Katelaskelma!$D$41</f>
        <v>11521.374999770114</v>
      </c>
      <c r="G59" s="5">
        <f>D59*Lähtötiedot!$C$11+Katelaskelma!$F$31-Katelaskelma!$F$46</f>
        <v>95913.236490245617</v>
      </c>
      <c r="H59" s="1"/>
      <c r="K59" s="3" t="s">
        <v>116</v>
      </c>
    </row>
    <row r="60" spans="1:14" x14ac:dyDescent="0.25">
      <c r="A60" s="5"/>
      <c r="C60" s="2">
        <v>59</v>
      </c>
      <c r="D60" s="5">
        <v>479.20633483994862</v>
      </c>
      <c r="E60" s="5"/>
      <c r="F60" s="2">
        <f>D60*Katelaskelma!$D$41</f>
        <v>5720.7341184911884</v>
      </c>
      <c r="G60" s="5">
        <f>D60*Lähtötiedot!$C$11+Katelaskelma!$F$31-Katelaskelma!$F$46</f>
        <v>26915.457631988247</v>
      </c>
      <c r="H60" s="1"/>
      <c r="I60" s="3">
        <v>1000</v>
      </c>
      <c r="J60" s="3"/>
      <c r="K60" s="4">
        <f ca="1">_xlfn.BETA.DIST($I60,$K$8,$K$9,TRUE,$K$4,$K$5)</f>
        <v>0.76924101539929601</v>
      </c>
      <c r="L60" s="4"/>
    </row>
    <row r="61" spans="1:14" x14ac:dyDescent="0.25">
      <c r="A61" s="5"/>
      <c r="C61" s="2">
        <v>60</v>
      </c>
      <c r="D61" s="5">
        <v>1077.1373696597341</v>
      </c>
      <c r="E61" s="5"/>
      <c r="F61" s="2">
        <f>D61*Katelaskelma!$D$41</f>
        <v>12858.795998538633</v>
      </c>
      <c r="G61" s="5">
        <f>D61*Lähtötiedot!$C$11+Katelaskelma!$F$31-Katelaskelma!$F$46</f>
        <v>111821.66457639777</v>
      </c>
      <c r="H61" s="1"/>
      <c r="I61" s="3">
        <v>800</v>
      </c>
      <c r="J61" s="3"/>
      <c r="K61" s="4">
        <f ca="1">_xlfn.BETA.DIST($I61,$K$8,$K$9,TRUE,$K$4,$K$5)</f>
        <v>0.54809907808477698</v>
      </c>
      <c r="L61" s="4"/>
    </row>
    <row r="62" spans="1:14" x14ac:dyDescent="0.25">
      <c r="A62" s="5"/>
      <c r="C62" s="2">
        <v>61</v>
      </c>
      <c r="D62" s="5">
        <v>1359.257898797676</v>
      </c>
      <c r="E62" s="5"/>
      <c r="F62" s="2">
        <f>D62*Katelaskelma!$D$41</f>
        <v>16226.732562034304</v>
      </c>
      <c r="G62" s="5">
        <f>D62*Lähtötiedot!$C$11+Katelaskelma!$F$31-Katelaskelma!$F$46</f>
        <v>151882.77971398554</v>
      </c>
      <c r="H62" s="1"/>
      <c r="I62" s="3">
        <v>600</v>
      </c>
      <c r="J62" s="3"/>
      <c r="K62" s="4">
        <f ca="1">_xlfn.BETA.DIST($I62,$K$8,$K$9,TRUE,$K$4,$K$5)</f>
        <v>0.31402307597615159</v>
      </c>
      <c r="L62" s="4"/>
    </row>
    <row r="63" spans="1:14" x14ac:dyDescent="0.25">
      <c r="A63" s="5"/>
      <c r="C63" s="2">
        <v>62</v>
      </c>
      <c r="D63" s="5">
        <v>653.98698348632547</v>
      </c>
      <c r="E63" s="5"/>
      <c r="F63" s="2">
        <f>D63*Katelaskelma!$D$41</f>
        <v>7807.2541564562516</v>
      </c>
      <c r="G63" s="5">
        <f>D63*Lähtötiedot!$C$11+Katelaskelma!$F$31-Katelaskelma!$F$46</f>
        <v>51734.309739773744</v>
      </c>
      <c r="H63" s="1"/>
      <c r="I63" s="3">
        <v>400</v>
      </c>
      <c r="J63" s="3"/>
      <c r="K63" s="4">
        <f ca="1">_xlfn.BETA.DIST($I63,$K$8,$K$9,TRUE,$K$4,$K$5)</f>
        <v>0.12547013806762156</v>
      </c>
      <c r="L63" s="4"/>
    </row>
    <row r="64" spans="1:14" x14ac:dyDescent="0.25">
      <c r="A64" s="5"/>
      <c r="C64" s="2">
        <v>63</v>
      </c>
      <c r="D64" s="5">
        <v>872.5936071960075</v>
      </c>
      <c r="E64" s="5"/>
      <c r="F64" s="2">
        <f>D64*Katelaskelma!$D$41</f>
        <v>10416.96583984172</v>
      </c>
      <c r="G64" s="5">
        <f>D64*Lähtötiedot!$C$11+Katelaskelma!$F$31-Katelaskelma!$F$46</f>
        <v>82776.450306548591</v>
      </c>
      <c r="H64" s="1"/>
    </row>
    <row r="65" spans="1:13" x14ac:dyDescent="0.25">
      <c r="A65" s="5"/>
      <c r="C65" s="2">
        <v>64</v>
      </c>
      <c r="D65" s="5">
        <v>370.15165701710094</v>
      </c>
      <c r="E65" s="5"/>
      <c r="F65" s="2">
        <f>D65*Katelaskelma!$D$41</f>
        <v>4418.8464537327536</v>
      </c>
      <c r="G65" s="5">
        <f>D65*Lähtötiedot!$C$11+Katelaskelma!$F$31-Katelaskelma!$F$46</f>
        <v>11429.693381143879</v>
      </c>
      <c r="H65" s="1"/>
    </row>
    <row r="66" spans="1:13" x14ac:dyDescent="0.25">
      <c r="A66" s="5"/>
      <c r="C66" s="2">
        <v>65</v>
      </c>
      <c r="D66" s="5">
        <v>708.23121337947873</v>
      </c>
      <c r="E66" s="5"/>
      <c r="F66" s="2">
        <f>D66*Katelaskelma!$D$41</f>
        <v>8454.8182517528749</v>
      </c>
      <c r="G66" s="5">
        <f>D66*Lähtötiedot!$C$11+Katelaskelma!$F$31-Katelaskelma!$F$46</f>
        <v>59436.990384601522</v>
      </c>
      <c r="H66" s="1"/>
      <c r="K66" s="1" t="s">
        <v>203</v>
      </c>
      <c r="L66" s="1" t="s">
        <v>202</v>
      </c>
    </row>
    <row r="67" spans="1:13" x14ac:dyDescent="0.25">
      <c r="A67" s="5"/>
      <c r="C67" s="2">
        <v>66</v>
      </c>
      <c r="D67" s="5">
        <v>693.57504025501862</v>
      </c>
      <c r="E67" s="5"/>
      <c r="F67" s="2">
        <f>D67*Katelaskelma!$D$41</f>
        <v>8279.853808372518</v>
      </c>
      <c r="G67" s="5">
        <f>D67*Lähtötiedot!$C$11+Katelaskelma!$F$31-Katelaskelma!$F$46</f>
        <v>57355.813800928183</v>
      </c>
      <c r="H67" s="1"/>
      <c r="I67" s="1">
        <f>MROUND(I69*0.9,100)</f>
        <v>11700</v>
      </c>
      <c r="K67" s="4">
        <f ca="1">1-_xlfn.BETA.DIST($I67,$L$8,$L$9,TRUE,$L$4,$L$5)</f>
        <v>0.25057216252620051</v>
      </c>
      <c r="L67" s="4">
        <f ca="1">1-_xlfn.BETA.DIST($M67,$L$8,$L$9,TRUE,$L$4,$L$5)</f>
        <v>0.64441487038168543</v>
      </c>
      <c r="M67" s="1">
        <f>I67*(1-Lähtötiedot!$B$6)</f>
        <v>7605</v>
      </c>
    </row>
    <row r="68" spans="1:13" x14ac:dyDescent="0.25">
      <c r="A68" s="5"/>
      <c r="C68" s="2">
        <v>67</v>
      </c>
      <c r="D68" s="5">
        <v>851.38146043598204</v>
      </c>
      <c r="E68" s="5"/>
      <c r="F68" s="2">
        <f>D68*Katelaskelma!$D$41</f>
        <v>10163.736608769368</v>
      </c>
      <c r="G68" s="5">
        <f>D68*Lähtötiedot!$C$11+Katelaskelma!$F$31-Katelaskelma!$F$46</f>
        <v>79764.325466624985</v>
      </c>
      <c r="H68" s="1"/>
      <c r="I68" s="1">
        <f>MROUND(I69*0.95,100)</f>
        <v>12400</v>
      </c>
      <c r="J68" s="5"/>
      <c r="K68" s="4">
        <f ca="1">1-_xlfn.BETA.DIST($I68,$L$8,$L$9,TRUE,$L$4,$L$5)</f>
        <v>0.19424223134358565</v>
      </c>
      <c r="L68" s="4">
        <f ca="1">1-_xlfn.BETA.DIST($M68,$L$8,$L$9,TRUE,$L$4,$L$5)</f>
        <v>0.60035210463512889</v>
      </c>
      <c r="M68" s="1">
        <f>I68*(1-Lähtötiedot!$B$6)</f>
        <v>8060</v>
      </c>
    </row>
    <row r="69" spans="1:13" x14ac:dyDescent="0.25">
      <c r="A69" s="5"/>
      <c r="C69" s="2">
        <v>68</v>
      </c>
      <c r="D69" s="5">
        <v>814.72282952782439</v>
      </c>
      <c r="E69" s="5"/>
      <c r="F69" s="2">
        <f>D69*Katelaskelma!$D$41</f>
        <v>9726.1082526176997</v>
      </c>
      <c r="G69" s="5">
        <f>D69*Lähtötiedot!$C$11+Katelaskelma!$F$31-Katelaskelma!$F$46</f>
        <v>74558.799877666606</v>
      </c>
      <c r="H69" s="1"/>
      <c r="I69" s="5">
        <f>Lähtötiedot!D11</f>
        <v>13000</v>
      </c>
      <c r="J69" s="5"/>
      <c r="K69" s="4">
        <f ca="1">1-_xlfn.BETA.DIST($I69,$L$8,$L$9,TRUE,$L$4,$L$5)</f>
        <v>0.15108215767539135</v>
      </c>
      <c r="L69" s="4">
        <f ca="1">1-_xlfn.BETA.DIST($M69,$L$8,$L$9,TRUE,$L$4,$L$5)</f>
        <v>0.56184240938314145</v>
      </c>
      <c r="M69" s="1">
        <f>I69*(1-Lähtötiedot!$B$6)</f>
        <v>8450</v>
      </c>
    </row>
    <row r="70" spans="1:13" x14ac:dyDescent="0.25">
      <c r="A70" s="5"/>
      <c r="C70" s="2">
        <v>69</v>
      </c>
      <c r="D70" s="5">
        <v>1445.9620884945259</v>
      </c>
      <c r="E70" s="5"/>
      <c r="F70" s="2">
        <f>D70*Katelaskelma!$D$41</f>
        <v>17261.801550386816</v>
      </c>
      <c r="G70" s="5">
        <f>D70*Lähtötiedot!$C$11+Katelaskelma!$F$31-Katelaskelma!$F$46</f>
        <v>164194.77465093823</v>
      </c>
      <c r="H70" s="1"/>
      <c r="I70" s="1">
        <f>MROUND(I69*1.05,100)</f>
        <v>13700</v>
      </c>
      <c r="K70" s="4">
        <f ca="1">1-_xlfn.BETA.DIST($I70,$L$8,$L$9,TRUE,$L$4,$L$5)</f>
        <v>0.10742932297937691</v>
      </c>
      <c r="L70" s="4">
        <f ca="1">1-_xlfn.BETA.DIST($M70,$L$8,$L$9,TRUE,$L$4,$L$5)</f>
        <v>0.51642351557475341</v>
      </c>
      <c r="M70" s="1">
        <f>I70*(1-Lähtötiedot!$B$6)</f>
        <v>8905</v>
      </c>
    </row>
    <row r="71" spans="1:13" x14ac:dyDescent="0.25">
      <c r="A71" s="5"/>
      <c r="C71" s="2">
        <v>70</v>
      </c>
      <c r="D71" s="5">
        <v>553.59673754960863</v>
      </c>
      <c r="E71" s="5"/>
      <c r="F71" s="2">
        <f>D71*Katelaskelma!$D$41</f>
        <v>6608.8019171182405</v>
      </c>
      <c r="G71" s="5">
        <f>D71*Lähtötiedot!$C$11+Katelaskelma!$F$31-Katelaskelma!$F$46</f>
        <v>37478.894816759974</v>
      </c>
      <c r="H71" s="1"/>
      <c r="I71" s="1">
        <f>MROUND(I69*1.1,100)</f>
        <v>14300</v>
      </c>
      <c r="K71" s="4">
        <f ca="1">1-_xlfn.BETA.DIST($I71,$L$8,$L$9,TRUE,$L$4,$L$5)</f>
        <v>7.6148218156235736E-2</v>
      </c>
      <c r="L71" s="4">
        <f ca="1">1-_xlfn.BETA.DIST($M71,$L$8,$L$9,TRUE,$L$4,$L$5)</f>
        <v>0.47738128537433022</v>
      </c>
      <c r="M71" s="1">
        <f>I71*(1-Lähtötiedot!$B$6)</f>
        <v>9295</v>
      </c>
    </row>
    <row r="72" spans="1:13" x14ac:dyDescent="0.25">
      <c r="A72" s="5"/>
      <c r="C72" s="2">
        <v>71</v>
      </c>
      <c r="D72" s="5">
        <v>634.97792327140382</v>
      </c>
      <c r="E72" s="5"/>
      <c r="F72" s="2">
        <f>D72*Katelaskelma!$D$41</f>
        <v>7580.3252295498996</v>
      </c>
      <c r="G72" s="5">
        <f>D72*Lähtötiedot!$C$11+Katelaskelma!$F$31-Katelaskelma!$F$46</f>
        <v>49035.023189254891</v>
      </c>
      <c r="H72" s="1"/>
      <c r="K72" s="4"/>
      <c r="L72" s="4"/>
    </row>
    <row r="73" spans="1:13" x14ac:dyDescent="0.25">
      <c r="A73" s="5"/>
      <c r="C73" s="2">
        <v>72</v>
      </c>
      <c r="D73" s="5">
        <v>425.65863663120564</v>
      </c>
      <c r="E73" s="5"/>
      <c r="F73" s="2">
        <f>D73*Katelaskelma!$D$41</f>
        <v>5081.4851732289389</v>
      </c>
      <c r="G73" s="5">
        <f>D73*Lähtötiedot!$C$11+Katelaskelma!$F$31-Katelaskelma!$F$46</f>
        <v>19311.684486346727</v>
      </c>
      <c r="H73" s="1"/>
      <c r="I73" s="1">
        <f>Tulokset!C5</f>
        <v>13000</v>
      </c>
      <c r="K73" s="4">
        <f ca="1">1-_xlfn.BETA.DIST($I73,$L$8,$L$9,TRUE,$L$4,$L$5)</f>
        <v>0.15108215767539135</v>
      </c>
      <c r="L73" s="4"/>
    </row>
    <row r="74" spans="1:13" x14ac:dyDescent="0.25">
      <c r="A74" s="5"/>
      <c r="C74" s="2">
        <v>73</v>
      </c>
      <c r="D74" s="5">
        <v>965.27399588481899</v>
      </c>
      <c r="E74" s="5"/>
      <c r="F74" s="2">
        <f>D74*Katelaskelma!$D$41</f>
        <v>11523.378303825928</v>
      </c>
      <c r="G74" s="5">
        <f>D74*Lähtötiedot!$C$11+Katelaskelma!$F$31-Katelaskelma!$F$46</f>
        <v>95937.065500359837</v>
      </c>
      <c r="H74" s="1"/>
      <c r="I74" s="1">
        <f>I73*(1-Lähtötiedot!B6)</f>
        <v>8450</v>
      </c>
      <c r="K74" s="78">
        <f ca="1">1-_xlfn.BETA.DIST($I74,$L$8,$L$9,TRUE,$L$4,$L$5)</f>
        <v>0.56184240938314145</v>
      </c>
    </row>
    <row r="75" spans="1:13" x14ac:dyDescent="0.25">
      <c r="A75" s="5"/>
      <c r="C75" s="2">
        <v>74</v>
      </c>
      <c r="D75" s="5">
        <v>263.32079539811986</v>
      </c>
      <c r="E75" s="5"/>
      <c r="F75" s="2">
        <f>D75*Katelaskelma!$D$41</f>
        <v>3143.5065624609997</v>
      </c>
      <c r="G75" s="5">
        <f>D75*Lähtötiedot!$C$11+Katelaskelma!$F$31-Katelaskelma!$F$46</f>
        <v>-3740.2889687514398</v>
      </c>
      <c r="H75" s="1"/>
      <c r="K75" s="1" t="s">
        <v>128</v>
      </c>
    </row>
    <row r="76" spans="1:13" x14ac:dyDescent="0.25">
      <c r="A76" s="5"/>
      <c r="C76" s="2">
        <v>75</v>
      </c>
      <c r="D76" s="5">
        <v>569.12611738999863</v>
      </c>
      <c r="E76" s="5"/>
      <c r="F76" s="2">
        <f>D76*Katelaskelma!$D$41</f>
        <v>6794.1906455907056</v>
      </c>
      <c r="G76" s="5">
        <f>D76*Lähtötiedot!$C$11+Katelaskelma!$F$31-Katelaskelma!$F$46</f>
        <v>39684.066754095344</v>
      </c>
    </row>
    <row r="77" spans="1:13" x14ac:dyDescent="0.25">
      <c r="A77" s="5"/>
      <c r="C77" s="2">
        <v>76</v>
      </c>
      <c r="D77" s="5">
        <v>1030.522614339068</v>
      </c>
      <c r="E77" s="5"/>
      <c r="F77" s="2">
        <f>D77*Katelaskelma!$D$41</f>
        <v>12302.312075434573</v>
      </c>
      <c r="G77" s="5">
        <f>D77*Lähtötiedot!$C$11+Katelaskelma!$F$31-Katelaskelma!$F$46</f>
        <v>105202.36932086319</v>
      </c>
      <c r="K77" s="1" t="s">
        <v>156</v>
      </c>
    </row>
    <row r="78" spans="1:13" x14ac:dyDescent="0.25">
      <c r="A78" s="5"/>
      <c r="C78" s="2">
        <v>77</v>
      </c>
      <c r="D78" s="5">
        <v>516.03672807069483</v>
      </c>
      <c r="E78" s="5"/>
      <c r="F78" s="2">
        <f>D78*Katelaskelma!$D$41</f>
        <v>6160.412962100273</v>
      </c>
      <c r="G78" s="5">
        <f>D78*Lähtötiedot!$C$11+Katelaskelma!$F$31-Katelaskelma!$F$46</f>
        <v>32145.373470754188</v>
      </c>
      <c r="H78" s="77">
        <v>1</v>
      </c>
      <c r="I78" s="6">
        <f ca="1">K5</f>
        <v>1553.0598492012507</v>
      </c>
      <c r="J78" s="6">
        <f ca="1">MROUND(I78,50)</f>
        <v>1550</v>
      </c>
      <c r="K78" s="4">
        <f t="shared" ref="K78:K109" ca="1" si="5">1-_xlfn.BETA.DIST($I78,$K$8,$K$9,TRUE,$K$4,$K$5)</f>
        <v>0</v>
      </c>
      <c r="L78" s="55">
        <f ca="1">IF(AND($K$4&lt;I78,I78&lt;$K$5),(I78-$K$4)^($K$8-1)*($K$5-I78)^($K$9-1)/$K$10/(($K$5-$K$4)^($K$8+$K$9-1)),0)*100</f>
        <v>0</v>
      </c>
    </row>
    <row r="79" spans="1:13" x14ac:dyDescent="0.25">
      <c r="A79" s="5"/>
      <c r="C79" s="2">
        <v>78</v>
      </c>
      <c r="D79" s="5">
        <v>333.41038743412292</v>
      </c>
      <c r="E79" s="5"/>
      <c r="F79" s="2">
        <f>D79*Katelaskelma!$D$41</f>
        <v>3980.2315624454218</v>
      </c>
      <c r="G79" s="5">
        <f>D79*Lähtötiedot!$C$11+Katelaskelma!$F$31-Katelaskelma!$F$46</f>
        <v>6212.4331003609987</v>
      </c>
      <c r="H79" s="77">
        <v>2</v>
      </c>
      <c r="I79" s="6">
        <f t="shared" ref="I79:I126" ca="1" si="6">I78-(($I$78-$I$127)/($H$127-1))</f>
        <v>1521.050351036163</v>
      </c>
      <c r="J79" s="6">
        <f t="shared" ref="J79:J127" ca="1" si="7">MROUND(I79,50)</f>
        <v>1500</v>
      </c>
      <c r="K79" s="4">
        <f t="shared" ca="1" si="5"/>
        <v>7.2214270519621593E-5</v>
      </c>
      <c r="L79" s="55">
        <f t="shared" ref="L79:L127" ca="1" si="8">IF(AND($K$4&lt;I79,I79&lt;$K$5),(I79-$K$4)^($K$8-1)*($K$5-I79)^($K$9-1)/$K$10/(($K$5-$K$4)^($K$8+$K$9-1)),0)*100</f>
        <v>6.7695356446659846E-4</v>
      </c>
    </row>
    <row r="80" spans="1:13" x14ac:dyDescent="0.25">
      <c r="A80" s="5"/>
      <c r="C80" s="2">
        <v>79</v>
      </c>
      <c r="D80" s="5">
        <v>1021.3902742547677</v>
      </c>
      <c r="E80" s="5"/>
      <c r="F80" s="2">
        <f>D80*Katelaskelma!$D$41</f>
        <v>12193.290792317832</v>
      </c>
      <c r="G80" s="5">
        <f>D80*Lähtötiedot!$C$11+Katelaskelma!$F$31-Katelaskelma!$F$46</f>
        <v>103905.57702889256</v>
      </c>
      <c r="H80" s="77">
        <v>3</v>
      </c>
      <c r="I80" s="6">
        <f t="shared" ca="1" si="6"/>
        <v>1489.0408528710752</v>
      </c>
      <c r="J80" s="6">
        <f t="shared" ca="1" si="7"/>
        <v>1500</v>
      </c>
      <c r="K80" s="4">
        <f t="shared" ca="1" si="5"/>
        <v>5.7243340997970016E-4</v>
      </c>
      <c r="L80" s="55">
        <f t="shared" ca="1" si="8"/>
        <v>2.654847418439253E-3</v>
      </c>
    </row>
    <row r="81" spans="1:12" x14ac:dyDescent="0.25">
      <c r="A81" s="5"/>
      <c r="C81" s="2">
        <v>80</v>
      </c>
      <c r="D81" s="5">
        <v>424.19502716805101</v>
      </c>
      <c r="E81" s="5"/>
      <c r="F81" s="2">
        <f>D81*Katelaskelma!$D$41</f>
        <v>5064.012698465408</v>
      </c>
      <c r="G81" s="5">
        <f>D81*Lähtötiedot!$C$11+Katelaskelma!$F$31-Katelaskelma!$F$46</f>
        <v>19103.851942578782</v>
      </c>
      <c r="H81" s="77">
        <v>4</v>
      </c>
      <c r="I81" s="6">
        <f t="shared" ca="1" si="6"/>
        <v>1457.0313547059875</v>
      </c>
      <c r="J81" s="6">
        <f t="shared" ca="1" si="7"/>
        <v>1450</v>
      </c>
      <c r="K81" s="4">
        <f t="shared" ca="1" si="5"/>
        <v>1.8962761154512897E-3</v>
      </c>
      <c r="L81" s="55">
        <f t="shared" ca="1" si="8"/>
        <v>5.7988977292935664E-3</v>
      </c>
    </row>
    <row r="82" spans="1:12" x14ac:dyDescent="0.25">
      <c r="A82" s="5"/>
      <c r="C82" s="2">
        <v>81</v>
      </c>
      <c r="D82" s="5">
        <v>867.48052236588478</v>
      </c>
      <c r="E82" s="5"/>
      <c r="F82" s="2">
        <f>D82*Katelaskelma!$D$41</f>
        <v>10355.926165046536</v>
      </c>
      <c r="G82" s="5">
        <f>D82*Lähtötiedot!$C$11+Katelaskelma!$F$31-Katelaskelma!$F$46</f>
        <v>82050.392260671186</v>
      </c>
      <c r="H82" s="77">
        <v>5</v>
      </c>
      <c r="I82" s="6">
        <f t="shared" ca="1" si="6"/>
        <v>1425.0218565408998</v>
      </c>
      <c r="J82" s="6">
        <f t="shared" ca="1" si="7"/>
        <v>1450</v>
      </c>
      <c r="K82" s="4">
        <f t="shared" ca="1" si="5"/>
        <v>4.3935470704556945E-3</v>
      </c>
      <c r="L82" s="55">
        <f t="shared" ca="1" si="8"/>
        <v>9.9618779410111883E-3</v>
      </c>
    </row>
    <row r="83" spans="1:12" x14ac:dyDescent="0.25">
      <c r="A83" s="5"/>
      <c r="C83" s="2">
        <v>82</v>
      </c>
      <c r="D83" s="5">
        <v>831.99942169327028</v>
      </c>
      <c r="E83" s="5"/>
      <c r="F83" s="2">
        <f>D83*Katelaskelma!$D$41</f>
        <v>9932.3550884094966</v>
      </c>
      <c r="G83" s="5">
        <f>D83*Lähtötiedot!$C$11+Katelaskelma!$F$31-Katelaskelma!$F$46</f>
        <v>77012.075965159922</v>
      </c>
      <c r="H83" s="77">
        <v>6</v>
      </c>
      <c r="I83" s="6">
        <f t="shared" ca="1" si="6"/>
        <v>1393.012358375812</v>
      </c>
      <c r="J83" s="6">
        <f t="shared" ca="1" si="7"/>
        <v>1400</v>
      </c>
      <c r="K83" s="4">
        <f t="shared" ca="1" si="5"/>
        <v>8.3667256949435664E-3</v>
      </c>
      <c r="L83" s="55">
        <f t="shared" ca="1" si="8"/>
        <v>1.4996157724019981E-2</v>
      </c>
    </row>
    <row r="84" spans="1:12" x14ac:dyDescent="0.25">
      <c r="A84" s="5"/>
      <c r="C84" s="2">
        <v>83</v>
      </c>
      <c r="D84" s="5">
        <v>797.26921911324303</v>
      </c>
      <c r="E84" s="5"/>
      <c r="F84" s="2">
        <f>D84*Katelaskelma!$D$41</f>
        <v>9517.7481844585491</v>
      </c>
      <c r="G84" s="5">
        <f>D84*Lähtötiedot!$C$11+Katelaskelma!$F$31-Katelaskelma!$F$46</f>
        <v>72080.38719879603</v>
      </c>
      <c r="H84" s="77">
        <v>7</v>
      </c>
      <c r="I84" s="6">
        <f t="shared" ca="1" si="6"/>
        <v>1361.0028602107243</v>
      </c>
      <c r="J84" s="6">
        <f t="shared" ca="1" si="7"/>
        <v>1350</v>
      </c>
      <c r="K84" s="4">
        <f t="shared" ca="1" si="5"/>
        <v>1.407144410544181E-2</v>
      </c>
      <c r="L84" s="55">
        <f t="shared" ca="1" si="8"/>
        <v>2.0757003061483242E-2</v>
      </c>
    </row>
    <row r="85" spans="1:12" x14ac:dyDescent="0.25">
      <c r="A85" s="5"/>
      <c r="C85" s="2">
        <v>84</v>
      </c>
      <c r="D85" s="5">
        <v>1060.0943563103367</v>
      </c>
      <c r="E85" s="5"/>
      <c r="F85" s="2">
        <f>D85*Katelaskelma!$D$41</f>
        <v>12655.337611490469</v>
      </c>
      <c r="G85" s="5">
        <f>D85*Lähtötiedot!$C$11+Katelaskelma!$F$31-Katelaskelma!$F$46</f>
        <v>109401.55668078337</v>
      </c>
      <c r="H85" s="77">
        <v>8</v>
      </c>
      <c r="I85" s="6">
        <f t="shared" ca="1" si="6"/>
        <v>1328.9933620456366</v>
      </c>
      <c r="J85" s="6">
        <f t="shared" ca="1" si="7"/>
        <v>1350</v>
      </c>
      <c r="K85" s="4">
        <f t="shared" ca="1" si="5"/>
        <v>2.1717683626814255E-2</v>
      </c>
      <c r="L85" s="55">
        <f t="shared" ca="1" si="8"/>
        <v>2.7104097488995723E-2</v>
      </c>
    </row>
    <row r="86" spans="1:12" x14ac:dyDescent="0.25">
      <c r="A86" s="5"/>
      <c r="C86" s="2">
        <v>85</v>
      </c>
      <c r="D86" s="5">
        <v>802.7274620154642</v>
      </c>
      <c r="E86" s="5"/>
      <c r="F86" s="2">
        <f>D86*Katelaskelma!$D$41</f>
        <v>9582.9083339131212</v>
      </c>
      <c r="G86" s="5">
        <f>D86*Lähtötiedot!$C$11+Katelaskelma!$F$31-Katelaskelma!$F$46</f>
        <v>72855.457690911455</v>
      </c>
      <c r="H86" s="77">
        <v>9</v>
      </c>
      <c r="I86" s="6">
        <f t="shared" ca="1" si="6"/>
        <v>1296.9838638805488</v>
      </c>
      <c r="J86" s="6">
        <f t="shared" ca="1" si="7"/>
        <v>1300</v>
      </c>
      <c r="K86" s="4">
        <f t="shared" ca="1" si="5"/>
        <v>3.1471337927762577E-2</v>
      </c>
      <c r="L86" s="55">
        <f t="shared" ca="1" si="8"/>
        <v>3.390240274052414E-2</v>
      </c>
    </row>
    <row r="87" spans="1:12" x14ac:dyDescent="0.25">
      <c r="A87" s="5"/>
      <c r="C87" s="2">
        <v>86</v>
      </c>
      <c r="D87" s="5">
        <v>857.75232875962615</v>
      </c>
      <c r="E87" s="5"/>
      <c r="F87" s="2">
        <f>D87*Katelaskelma!$D$41</f>
        <v>10239.79162126343</v>
      </c>
      <c r="G87" s="5">
        <f>D87*Lähtötiedot!$C$11+Katelaskelma!$F$31-Katelaskelma!$F$46</f>
        <v>80668.988768582436</v>
      </c>
      <c r="H87" s="77">
        <v>10</v>
      </c>
      <c r="I87" s="6">
        <f t="shared" ca="1" si="6"/>
        <v>1264.9743657154611</v>
      </c>
      <c r="J87" s="6">
        <f t="shared" ca="1" si="7"/>
        <v>1250</v>
      </c>
      <c r="K87" s="4">
        <f t="shared" ca="1" si="5"/>
        <v>4.3455996373176653E-2</v>
      </c>
      <c r="L87" s="55">
        <f t="shared" ca="1" si="8"/>
        <v>4.1022708384894906E-2</v>
      </c>
    </row>
    <row r="88" spans="1:12" x14ac:dyDescent="0.25">
      <c r="A88" s="5"/>
      <c r="C88" s="2">
        <v>87</v>
      </c>
      <c r="D88" s="5">
        <v>280.3844924019898</v>
      </c>
      <c r="E88" s="5"/>
      <c r="F88" s="2">
        <f>D88*Katelaskelma!$D$41</f>
        <v>3347.2118696336147</v>
      </c>
      <c r="G88" s="5">
        <f>D88*Lähtötiedot!$C$11+Katelaskelma!$F$31-Katelaskelma!$F$46</f>
        <v>-1317.2439942019118</v>
      </c>
      <c r="H88" s="77">
        <v>11</v>
      </c>
      <c r="I88" s="6">
        <f t="shared" ca="1" si="6"/>
        <v>1232.9648675503734</v>
      </c>
      <c r="J88" s="6">
        <f t="shared" ca="1" si="7"/>
        <v>1250</v>
      </c>
      <c r="K88" s="4">
        <f t="shared" ca="1" si="5"/>
        <v>5.7754873837213117E-2</v>
      </c>
      <c r="L88" s="55">
        <f t="shared" ca="1" si="8"/>
        <v>4.8342012839207534E-2</v>
      </c>
    </row>
    <row r="89" spans="1:12" x14ac:dyDescent="0.25">
      <c r="A89" s="5"/>
      <c r="C89" s="2">
        <v>88</v>
      </c>
      <c r="D89" s="5">
        <v>683.91512046311232</v>
      </c>
      <c r="E89" s="5"/>
      <c r="F89" s="2">
        <f>D89*Katelaskelma!$D$41</f>
        <v>8164.5343129532757</v>
      </c>
      <c r="G89" s="5">
        <f>D89*Lähtötiedot!$C$11+Katelaskelma!$F$31-Katelaskelma!$F$46</f>
        <v>55984.105190477479</v>
      </c>
      <c r="H89" s="77">
        <v>12</v>
      </c>
      <c r="I89" s="6">
        <f t="shared" ca="1" si="6"/>
        <v>1200.9553693852856</v>
      </c>
      <c r="J89" s="6">
        <f t="shared" ca="1" si="7"/>
        <v>1200</v>
      </c>
      <c r="K89" s="4">
        <f t="shared" ca="1" si="5"/>
        <v>7.4412845104316228E-2</v>
      </c>
      <c r="L89" s="55">
        <f t="shared" ca="1" si="8"/>
        <v>5.5743803798053264E-2</v>
      </c>
    </row>
    <row r="90" spans="1:12" x14ac:dyDescent="0.25">
      <c r="A90" s="5"/>
      <c r="C90" s="2">
        <v>89</v>
      </c>
      <c r="D90" s="5">
        <v>635.32836227836947</v>
      </c>
      <c r="E90" s="5"/>
      <c r="F90" s="2">
        <f>D90*Katelaskelma!$D$41</f>
        <v>7584.5087476669296</v>
      </c>
      <c r="G90" s="5">
        <f>D90*Lähtötiedot!$C$11+Katelaskelma!$F$31-Katelaskelma!$F$46</f>
        <v>49084.785528243985</v>
      </c>
      <c r="H90" s="77">
        <v>13</v>
      </c>
      <c r="I90" s="6">
        <f t="shared" ca="1" si="6"/>
        <v>1168.9458712201979</v>
      </c>
      <c r="J90" s="6">
        <f t="shared" ca="1" si="7"/>
        <v>1150</v>
      </c>
      <c r="K90" s="4">
        <f t="shared" ca="1" si="5"/>
        <v>9.3438558028948959E-2</v>
      </c>
      <c r="L90" s="55">
        <f t="shared" ca="1" si="8"/>
        <v>6.3118274363370641E-2</v>
      </c>
    </row>
    <row r="91" spans="1:12" x14ac:dyDescent="0.25">
      <c r="A91" s="5"/>
      <c r="C91" s="2">
        <v>90</v>
      </c>
      <c r="D91" s="5">
        <v>683.85048648822135</v>
      </c>
      <c r="E91" s="5"/>
      <c r="F91" s="2">
        <f>D91*Katelaskelma!$D$41</f>
        <v>8163.7627167566279</v>
      </c>
      <c r="G91" s="5">
        <f>D91*Lähtötiedot!$C$11+Katelaskelma!$F$31-Katelaskelma!$F$46</f>
        <v>55974.927166042966</v>
      </c>
      <c r="H91" s="77">
        <v>14</v>
      </c>
      <c r="I91" s="6">
        <f t="shared" ca="1" si="6"/>
        <v>1136.9363730551102</v>
      </c>
      <c r="J91" s="6">
        <f t="shared" ca="1" si="7"/>
        <v>1150</v>
      </c>
      <c r="K91" s="4">
        <f t="shared" ca="1" si="5"/>
        <v>0.11480660851607105</v>
      </c>
      <c r="L91" s="55">
        <f t="shared" ca="1" si="8"/>
        <v>7.0362495860191332E-2</v>
      </c>
    </row>
    <row r="92" spans="1:12" x14ac:dyDescent="0.25">
      <c r="A92" s="5"/>
      <c r="C92" s="2">
        <v>91</v>
      </c>
      <c r="D92" s="5">
        <v>407.7851173329571</v>
      </c>
      <c r="E92" s="5"/>
      <c r="F92" s="2">
        <f>D92*Katelaskelma!$D$41</f>
        <v>4868.1122600742083</v>
      </c>
      <c r="G92" s="5">
        <f>D92*Lähtötiedot!$C$11+Katelaskelma!$F$31-Katelaskelma!$F$46</f>
        <v>16773.644745995436</v>
      </c>
      <c r="H92" s="77">
        <v>15</v>
      </c>
      <c r="I92" s="6">
        <f t="shared" ca="1" si="6"/>
        <v>1104.9268748900224</v>
      </c>
      <c r="J92" s="6">
        <f t="shared" ca="1" si="7"/>
        <v>1100</v>
      </c>
      <c r="K92" s="4">
        <f t="shared" ca="1" si="5"/>
        <v>0.13845976568306573</v>
      </c>
      <c r="L92" s="55">
        <f t="shared" ca="1" si="8"/>
        <v>7.738056026269631E-2</v>
      </c>
    </row>
    <row r="93" spans="1:12" x14ac:dyDescent="0.25">
      <c r="A93" s="5"/>
      <c r="C93" s="2">
        <v>92</v>
      </c>
      <c r="D93" s="5">
        <v>230.52519257539444</v>
      </c>
      <c r="E93" s="5"/>
      <c r="F93" s="2">
        <f>D93*Katelaskelma!$D$41</f>
        <v>2751.9947848316133</v>
      </c>
      <c r="G93" s="5">
        <f>D93*Lähtötiedot!$C$11+Katelaskelma!$F$31-Katelaskelma!$F$46</f>
        <v>-8397.2645695784595</v>
      </c>
      <c r="H93" s="77">
        <v>16</v>
      </c>
      <c r="I93" s="6">
        <f t="shared" ca="1" si="6"/>
        <v>1072.9173767249347</v>
      </c>
      <c r="J93" s="6">
        <f t="shared" ca="1" si="7"/>
        <v>1050</v>
      </c>
      <c r="K93" s="4">
        <f t="shared" ca="1" si="5"/>
        <v>0.16431123890711086</v>
      </c>
      <c r="L93" s="55">
        <f t="shared" ca="1" si="8"/>
        <v>8.4083700603375666E-2</v>
      </c>
    </row>
    <row r="94" spans="1:12" x14ac:dyDescent="0.25">
      <c r="A94" s="5"/>
      <c r="C94" s="2">
        <v>93</v>
      </c>
      <c r="D94" s="5">
        <v>369.45079755983244</v>
      </c>
      <c r="E94" s="5"/>
      <c r="F94" s="2">
        <f>D94*Katelaskelma!$D$41</f>
        <v>4410.4796390269294</v>
      </c>
      <c r="G94" s="5">
        <f>D94*Lähtötiedot!$C$11+Katelaskelma!$F$31-Katelaskelma!$F$46</f>
        <v>11330.171338211745</v>
      </c>
      <c r="H94" s="77">
        <v>17</v>
      </c>
      <c r="I94" s="6">
        <f t="shared" ca="1" si="6"/>
        <v>1040.9078785598469</v>
      </c>
      <c r="J94" s="6">
        <f t="shared" ca="1" si="7"/>
        <v>1050</v>
      </c>
      <c r="K94" s="4">
        <f t="shared" ca="1" si="5"/>
        <v>0.19224698067189527</v>
      </c>
      <c r="L94" s="55">
        <f t="shared" ca="1" si="8"/>
        <v>9.0390395021741093E-2</v>
      </c>
    </row>
    <row r="95" spans="1:12" x14ac:dyDescent="0.25">
      <c r="A95" s="5"/>
      <c r="C95" s="2">
        <v>94</v>
      </c>
      <c r="D95" s="5">
        <v>145.91395133001316</v>
      </c>
      <c r="E95" s="5"/>
      <c r="F95" s="2">
        <f>D95*Katelaskelma!$D$41</f>
        <v>1741.911279232701</v>
      </c>
      <c r="G95" s="5">
        <f>D95*Lähtötiedot!$C$11+Katelaskelma!$F$31-Katelaskelma!$F$46</f>
        <v>-20412.060826422588</v>
      </c>
      <c r="H95" s="77">
        <v>18</v>
      </c>
      <c r="I95" s="6">
        <f t="shared" ca="1" si="6"/>
        <v>1008.8983803947592</v>
      </c>
      <c r="J95" s="6">
        <f t="shared" ca="1" si="7"/>
        <v>1000</v>
      </c>
      <c r="K95" s="4">
        <f t="shared" ca="1" si="5"/>
        <v>0.22212802064647819</v>
      </c>
      <c r="L95" s="55">
        <f t="shared" ca="1" si="8"/>
        <v>9.6226458413237251E-2</v>
      </c>
    </row>
    <row r="96" spans="1:12" x14ac:dyDescent="0.25">
      <c r="A96" s="5"/>
      <c r="C96" s="2">
        <v>95</v>
      </c>
      <c r="D96" s="5">
        <v>401.5480782589878</v>
      </c>
      <c r="E96" s="5"/>
      <c r="F96" s="2">
        <f>D96*Katelaskelma!$D$41</f>
        <v>4793.654892475477</v>
      </c>
      <c r="G96" s="5">
        <f>D96*Lähtötiedot!$C$11+Katelaskelma!$F$31-Katelaskelma!$F$46</f>
        <v>15887.985197491798</v>
      </c>
      <c r="H96" s="77">
        <v>19</v>
      </c>
      <c r="I96" s="6">
        <f t="shared" ca="1" si="6"/>
        <v>976.88888222967148</v>
      </c>
      <c r="J96" s="6">
        <f t="shared" ca="1" si="7"/>
        <v>1000</v>
      </c>
      <c r="K96" s="4">
        <f t="shared" ca="1" si="5"/>
        <v>0.25379282750881627</v>
      </c>
      <c r="L96" s="55">
        <f t="shared" ca="1" si="8"/>
        <v>0.10152512454021563</v>
      </c>
    </row>
    <row r="97" spans="1:12" x14ac:dyDescent="0.25">
      <c r="A97" s="5"/>
      <c r="C97" s="2">
        <v>96</v>
      </c>
      <c r="D97" s="5">
        <v>579.55194008354079</v>
      </c>
      <c r="E97" s="5"/>
      <c r="F97" s="2">
        <f>D97*Katelaskelma!$D$41</f>
        <v>6918.6534401324488</v>
      </c>
      <c r="G97" s="5">
        <f>D97*Lähtötiedot!$C$11+Katelaskelma!$F$31-Katelaskelma!$F$46</f>
        <v>41164.533576578338</v>
      </c>
      <c r="H97" s="77">
        <v>20</v>
      </c>
      <c r="I97" s="6">
        <f t="shared" ca="1" si="6"/>
        <v>944.87938406458375</v>
      </c>
      <c r="J97" s="6">
        <f t="shared" ca="1" si="7"/>
        <v>950</v>
      </c>
      <c r="K97" s="4">
        <f t="shared" ca="1" si="5"/>
        <v>0.28705969581747615</v>
      </c>
      <c r="L97" s="55">
        <f t="shared" ca="1" si="8"/>
        <v>0.10622712073277565</v>
      </c>
    </row>
    <row r="98" spans="1:12" x14ac:dyDescent="0.25">
      <c r="A98" s="5"/>
      <c r="C98" s="2">
        <v>97</v>
      </c>
      <c r="D98" s="5">
        <v>966.87497794413844</v>
      </c>
      <c r="E98" s="5"/>
      <c r="F98" s="2">
        <f>D98*Katelaskelma!$D$41</f>
        <v>11542.490723725175</v>
      </c>
      <c r="G98" s="5">
        <f>D98*Lähtötiedot!$C$11+Katelaskelma!$F$31-Katelaskelma!$F$46</f>
        <v>96164.404952783196</v>
      </c>
      <c r="H98" s="77">
        <v>21</v>
      </c>
      <c r="I98" s="6">
        <f t="shared" ca="1" si="6"/>
        <v>912.86988589949601</v>
      </c>
      <c r="J98" s="6">
        <f t="shared" ca="1" si="7"/>
        <v>900</v>
      </c>
      <c r="K98" s="4">
        <f t="shared" ca="1" si="5"/>
        <v>0.32172915583075179</v>
      </c>
      <c r="L98" s="55">
        <f t="shared" ca="1" si="8"/>
        <v>0.11028073680450566</v>
      </c>
    </row>
    <row r="99" spans="1:12" x14ac:dyDescent="0.25">
      <c r="A99" s="5"/>
      <c r="C99" s="2">
        <v>98</v>
      </c>
      <c r="D99" s="5">
        <v>587.58226960601473</v>
      </c>
      <c r="E99" s="5"/>
      <c r="F99" s="2">
        <f>D99*Katelaskelma!$D$41</f>
        <v>7014.5189926971643</v>
      </c>
      <c r="G99" s="5">
        <f>D99*Lähtötiedot!$C$11+Katelaskelma!$F$31-Katelaskelma!$F$46</f>
        <v>42304.840368769626</v>
      </c>
      <c r="H99" s="77">
        <v>22</v>
      </c>
      <c r="I99" s="6">
        <f t="shared" ca="1" si="6"/>
        <v>880.86038773440828</v>
      </c>
      <c r="J99" s="6">
        <f t="shared" ca="1" si="7"/>
        <v>900</v>
      </c>
      <c r="K99" s="4">
        <f t="shared" ca="1" si="5"/>
        <v>0.35758640463311875</v>
      </c>
      <c r="L99" s="55">
        <f t="shared" ca="1" si="8"/>
        <v>0.11364188945713975</v>
      </c>
    </row>
    <row r="100" spans="1:12" x14ac:dyDescent="0.25">
      <c r="A100" s="5"/>
      <c r="C100" s="2">
        <v>99</v>
      </c>
      <c r="D100" s="5">
        <v>546.7492575680219</v>
      </c>
      <c r="E100" s="5"/>
      <c r="F100" s="2">
        <f>D100*Katelaskelma!$D$41</f>
        <v>6527.057145590059</v>
      </c>
      <c r="G100" s="5">
        <f>D100*Lähtötiedot!$C$11+Katelaskelma!$F$31-Katelaskelma!$F$46</f>
        <v>36506.552659374633</v>
      </c>
      <c r="H100" s="77">
        <v>23</v>
      </c>
      <c r="I100" s="6">
        <f t="shared" ca="1" si="6"/>
        <v>848.85088956932054</v>
      </c>
      <c r="J100" s="6">
        <f t="shared" ca="1" si="7"/>
        <v>850</v>
      </c>
      <c r="K100" s="4">
        <f t="shared" ca="1" si="5"/>
        <v>0.39440375729476185</v>
      </c>
      <c r="L100" s="55">
        <f t="shared" ca="1" si="8"/>
        <v>0.1162741831998719</v>
      </c>
    </row>
    <row r="101" spans="1:12" x14ac:dyDescent="0.25">
      <c r="A101" s="5"/>
      <c r="C101" s="2">
        <v>100</v>
      </c>
      <c r="D101" s="5">
        <v>1134.6255074248286</v>
      </c>
      <c r="E101" s="5"/>
      <c r="F101" s="2">
        <f>D101*Katelaskelma!$D$41</f>
        <v>13545.085655437972</v>
      </c>
      <c r="G101" s="5">
        <f>D101*Lähtötiedot!$C$11+Katelaskelma!$F$31-Katelaskelma!$F$46</f>
        <v>119984.9801390412</v>
      </c>
      <c r="H101" s="77">
        <v>24</v>
      </c>
      <c r="I101" s="6">
        <f t="shared" ca="1" si="6"/>
        <v>816.84139140423281</v>
      </c>
      <c r="J101" s="6">
        <f t="shared" ca="1" si="7"/>
        <v>800</v>
      </c>
      <c r="K101" s="4">
        <f t="shared" ca="1" si="5"/>
        <v>0.43194311708839539</v>
      </c>
      <c r="L101" s="55">
        <f t="shared" ca="1" si="8"/>
        <v>0.11814896863257909</v>
      </c>
    </row>
    <row r="102" spans="1:12" x14ac:dyDescent="0.25">
      <c r="A102" s="5"/>
      <c r="C102" s="2">
        <v>101</v>
      </c>
      <c r="D102" s="5">
        <v>911.18648628929327</v>
      </c>
      <c r="E102" s="5"/>
      <c r="F102" s="2">
        <f>D102*Katelaskelma!$D$41</f>
        <v>10877.685125269163</v>
      </c>
      <c r="G102" s="5">
        <f>D102*Lähtötiedot!$C$11+Katelaskelma!$F$31-Katelaskelma!$F$46</f>
        <v>88256.639137795166</v>
      </c>
      <c r="H102" s="77">
        <v>25</v>
      </c>
      <c r="I102" s="6">
        <f t="shared" ca="1" si="6"/>
        <v>784.83189323914507</v>
      </c>
      <c r="J102" s="6">
        <f t="shared" ca="1" si="7"/>
        <v>800</v>
      </c>
      <c r="K102" s="4">
        <f t="shared" ca="1" si="5"/>
        <v>0.46995846403830344</v>
      </c>
      <c r="L102" s="55">
        <f t="shared" ca="1" si="8"/>
        <v>0.11924539881758614</v>
      </c>
    </row>
    <row r="103" spans="1:12" x14ac:dyDescent="0.25">
      <c r="A103" s="5"/>
      <c r="C103" s="2">
        <v>102</v>
      </c>
      <c r="D103" s="5">
        <v>820.70612948180565</v>
      </c>
      <c r="E103" s="5"/>
      <c r="F103" s="2">
        <f>D103*Katelaskelma!$D$41</f>
        <v>9797.5364990730377</v>
      </c>
      <c r="G103" s="5">
        <f>D103*Lähtötiedot!$C$11+Katelaskelma!$F$31-Katelaskelma!$F$46</f>
        <v>75408.428471131949</v>
      </c>
      <c r="H103" s="77">
        <v>26</v>
      </c>
      <c r="I103" s="6">
        <f t="shared" ca="1" si="6"/>
        <v>752.82239507405734</v>
      </c>
      <c r="J103" s="6">
        <f t="shared" ca="1" si="7"/>
        <v>750</v>
      </c>
      <c r="K103" s="4">
        <f t="shared" ca="1" si="5"/>
        <v>0.50819836129386986</v>
      </c>
      <c r="L103" s="55">
        <f t="shared" ca="1" si="8"/>
        <v>0.11955048437894636</v>
      </c>
    </row>
    <row r="104" spans="1:12" x14ac:dyDescent="0.25">
      <c r="A104" s="5"/>
      <c r="C104" s="2">
        <v>103</v>
      </c>
      <c r="D104" s="5">
        <v>985.06622966649707</v>
      </c>
      <c r="E104" s="5"/>
      <c r="F104" s="2">
        <f>D104*Katelaskelma!$D$41</f>
        <v>11759.656705933898</v>
      </c>
      <c r="G104" s="5">
        <f>D104*Lähtötiedot!$C$11+Katelaskelma!$F$31-Katelaskelma!$F$46</f>
        <v>98747.562697358138</v>
      </c>
      <c r="H104" s="77">
        <v>27</v>
      </c>
      <c r="I104" s="6">
        <f t="shared" ca="1" si="6"/>
        <v>720.81289690896961</v>
      </c>
      <c r="J104" s="6">
        <f t="shared" ca="1" si="7"/>
        <v>700</v>
      </c>
      <c r="K104" s="4">
        <f t="shared" ca="1" si="5"/>
        <v>0.54640847901484157</v>
      </c>
      <c r="L104" s="55">
        <f t="shared" ca="1" si="8"/>
        <v>0.1190591479131909</v>
      </c>
    </row>
    <row r="105" spans="1:12" x14ac:dyDescent="0.25">
      <c r="A105" s="5"/>
      <c r="C105" s="2">
        <v>104</v>
      </c>
      <c r="D105" s="5">
        <v>696.46230909080873</v>
      </c>
      <c r="E105" s="5"/>
      <c r="F105" s="2">
        <f>D105*Katelaskelma!$D$41</f>
        <v>8314.3218363122505</v>
      </c>
      <c r="G105" s="5">
        <f>D105*Lähtötiedot!$C$11+Katelaskelma!$F$31-Katelaskelma!$F$46</f>
        <v>57765.805975610361</v>
      </c>
      <c r="H105" s="77">
        <v>28</v>
      </c>
      <c r="I105" s="6">
        <f t="shared" ca="1" si="6"/>
        <v>688.80339874388187</v>
      </c>
      <c r="J105" s="6">
        <f t="shared" ca="1" si="7"/>
        <v>700</v>
      </c>
      <c r="K105" s="4">
        <f t="shared" ca="1" si="5"/>
        <v>0.5843341356371663</v>
      </c>
      <c r="L105" s="55">
        <f t="shared" ca="1" si="8"/>
        <v>0.11777427826613945</v>
      </c>
    </row>
    <row r="106" spans="1:12" x14ac:dyDescent="0.25">
      <c r="A106" s="5"/>
      <c r="C106" s="2">
        <v>105</v>
      </c>
      <c r="D106" s="5">
        <v>459.82397679247771</v>
      </c>
      <c r="E106" s="5"/>
      <c r="F106" s="2">
        <f>D106*Katelaskelma!$D$41</f>
        <v>5489.3487862918282</v>
      </c>
      <c r="G106" s="5">
        <f>D106*Lähtötiedot!$C$11+Katelaskelma!$F$31-Katelaskelma!$F$46</f>
        <v>24163.162789247377</v>
      </c>
      <c r="H106" s="77">
        <v>29</v>
      </c>
      <c r="I106" s="6">
        <f t="shared" ca="1" si="6"/>
        <v>656.79390057879414</v>
      </c>
      <c r="J106" s="6">
        <f t="shared" ca="1" si="7"/>
        <v>650</v>
      </c>
      <c r="K106" s="4">
        <f t="shared" ca="1" si="5"/>
        <v>0.62172285656413329</v>
      </c>
      <c r="L106" s="55">
        <f t="shared" ca="1" si="8"/>
        <v>0.11570678522391054</v>
      </c>
    </row>
    <row r="107" spans="1:12" x14ac:dyDescent="0.25">
      <c r="A107" s="5"/>
      <c r="C107" s="2">
        <v>106</v>
      </c>
      <c r="D107" s="5">
        <v>491.5666071248973</v>
      </c>
      <c r="E107" s="5"/>
      <c r="F107" s="2">
        <f>D107*Katelaskelma!$D$41</f>
        <v>5868.2902466837832</v>
      </c>
      <c r="G107" s="5">
        <f>D107*Lähtötiedot!$C$11+Katelaskelma!$F$31-Katelaskelma!$F$46</f>
        <v>28670.616296450957</v>
      </c>
      <c r="H107" s="77">
        <v>30</v>
      </c>
      <c r="I107" s="6">
        <f t="shared" ca="1" si="6"/>
        <v>624.7844024137064</v>
      </c>
      <c r="J107" s="6">
        <f t="shared" ca="1" si="7"/>
        <v>600</v>
      </c>
      <c r="K107" s="4">
        <f t="shared" ca="1" si="5"/>
        <v>0.65832695050495427</v>
      </c>
      <c r="L107" s="55">
        <f t="shared" ca="1" si="8"/>
        <v>0.11287565518225658</v>
      </c>
    </row>
    <row r="108" spans="1:12" x14ac:dyDescent="0.25">
      <c r="A108" s="5"/>
      <c r="C108" s="2">
        <v>107</v>
      </c>
      <c r="D108" s="5">
        <v>440.17669860683719</v>
      </c>
      <c r="E108" s="5"/>
      <c r="F108" s="2">
        <f>D108*Katelaskelma!$D$41</f>
        <v>5254.8008546798201</v>
      </c>
      <c r="G108" s="5">
        <f>D108*Lähtötiedot!$C$11+Katelaskelma!$F$31-Katelaskelma!$F$46</f>
        <v>21373.249286886421</v>
      </c>
      <c r="H108" s="77">
        <v>31</v>
      </c>
      <c r="I108" s="6">
        <f t="shared" ca="1" si="6"/>
        <v>592.77490424861867</v>
      </c>
      <c r="J108" s="6">
        <f t="shared" ca="1" si="7"/>
        <v>600</v>
      </c>
      <c r="K108" s="4">
        <f t="shared" ca="1" si="5"/>
        <v>0.69390610386917595</v>
      </c>
      <c r="L108" s="55">
        <f t="shared" ca="1" si="8"/>
        <v>0.10930800839796254</v>
      </c>
    </row>
    <row r="109" spans="1:12" x14ac:dyDescent="0.25">
      <c r="A109" s="5"/>
      <c r="C109" s="2">
        <v>108</v>
      </c>
      <c r="D109" s="5">
        <v>896.06949452913773</v>
      </c>
      <c r="E109" s="5"/>
      <c r="F109" s="2">
        <f>D109*Katelaskelma!$D$41</f>
        <v>10697.219458929098</v>
      </c>
      <c r="G109" s="5">
        <f>D109*Lähtötiedot!$C$11+Katelaskelma!$F$31-Katelaskelma!$F$46</f>
        <v>86110.026307853084</v>
      </c>
      <c r="H109" s="77">
        <v>32</v>
      </c>
      <c r="I109" s="6">
        <f t="shared" ca="1" si="6"/>
        <v>560.76540608353093</v>
      </c>
      <c r="J109" s="6">
        <f t="shared" ca="1" si="7"/>
        <v>550</v>
      </c>
      <c r="K109" s="4">
        <f t="shared" ca="1" si="5"/>
        <v>0.72822999382845854</v>
      </c>
      <c r="L109" s="55">
        <f t="shared" ca="1" si="8"/>
        <v>0.10503915849282362</v>
      </c>
    </row>
    <row r="110" spans="1:12" x14ac:dyDescent="0.25">
      <c r="A110" s="5"/>
      <c r="C110" s="2">
        <v>109</v>
      </c>
      <c r="D110" s="5">
        <v>1310.6404316529604</v>
      </c>
      <c r="E110" s="5"/>
      <c r="F110" s="2">
        <f>D110*Katelaskelma!$D$41</f>
        <v>15646.34039517722</v>
      </c>
      <c r="G110" s="5">
        <f>D110*Lähtötiedot!$C$11+Katelaskelma!$F$31-Katelaskelma!$F$46</f>
        <v>144979.09937943591</v>
      </c>
      <c r="H110" s="77">
        <v>33</v>
      </c>
      <c r="I110" s="6">
        <f t="shared" ca="1" si="6"/>
        <v>528.7559079184432</v>
      </c>
      <c r="J110" s="6">
        <f t="shared" ca="1" si="7"/>
        <v>550</v>
      </c>
      <c r="K110" s="4">
        <f t="shared" ref="K110:K127" ca="1" si="9">1-_xlfn.BETA.DIST($I110,$K$8,$K$9,TRUE,$K$4,$K$5)</f>
        <v>0.76108092088689305</v>
      </c>
      <c r="L110" s="55">
        <f t="shared" ca="1" si="8"/>
        <v>0.10011267498065791</v>
      </c>
    </row>
    <row r="111" spans="1:12" x14ac:dyDescent="0.25">
      <c r="A111" s="5"/>
      <c r="C111" s="2">
        <v>110</v>
      </c>
      <c r="D111" s="5">
        <v>849.9523807389503</v>
      </c>
      <c r="E111" s="5"/>
      <c r="F111" s="2">
        <f>D111*Katelaskelma!$D$41</f>
        <v>10146.676348112374</v>
      </c>
      <c r="G111" s="5">
        <f>D111*Lähtötiedot!$C$11+Katelaskelma!$F$31-Katelaskelma!$F$46</f>
        <v>79561.396149646491</v>
      </c>
      <c r="H111" s="77">
        <v>34</v>
      </c>
      <c r="I111" s="6">
        <f t="shared" ca="1" si="6"/>
        <v>496.74640975335546</v>
      </c>
      <c r="J111" s="6">
        <f t="shared" ca="1" si="7"/>
        <v>500</v>
      </c>
      <c r="K111" s="4">
        <f t="shared" ca="1" si="9"/>
        <v>0.79225646206918754</v>
      </c>
      <c r="L111" s="55">
        <f t="shared" ca="1" si="8"/>
        <v>9.4580449730607807E-2</v>
      </c>
    </row>
    <row r="112" spans="1:12" x14ac:dyDescent="0.25">
      <c r="A112" s="5"/>
      <c r="C112" s="2">
        <v>111</v>
      </c>
      <c r="D112" s="5">
        <v>779.75483559915961</v>
      </c>
      <c r="E112" s="5"/>
      <c r="F112" s="2">
        <f>D112*Katelaskelma!$D$41</f>
        <v>9308.6626109825193</v>
      </c>
      <c r="G112" s="5">
        <f>D112*Lähtötiedot!$C$11+Katelaskelma!$F$31-Katelaskelma!$F$46</f>
        <v>69593.344739796186</v>
      </c>
      <c r="H112" s="77">
        <v>35</v>
      </c>
      <c r="I112" s="6">
        <f t="shared" ca="1" si="6"/>
        <v>464.73691158826773</v>
      </c>
      <c r="J112" s="6">
        <f t="shared" ca="1" si="7"/>
        <v>450</v>
      </c>
      <c r="K112" s="4">
        <f t="shared" ca="1" si="9"/>
        <v>0.82157214615867602</v>
      </c>
      <c r="L112" s="55">
        <f t="shared" ca="1" si="8"/>
        <v>8.8502768480487978E-2</v>
      </c>
    </row>
    <row r="113" spans="1:12" x14ac:dyDescent="0.25">
      <c r="A113" s="5"/>
      <c r="C113" s="2">
        <v>112</v>
      </c>
      <c r="D113" s="5">
        <v>1077.6539533875141</v>
      </c>
      <c r="E113" s="5"/>
      <c r="F113" s="2">
        <f>D113*Katelaskelma!$D$41</f>
        <v>12864.962941547756</v>
      </c>
      <c r="G113" s="5">
        <f>D113*Lähtötiedot!$C$11+Katelaskelma!$F$31-Katelaskelma!$F$46</f>
        <v>111895.01946574255</v>
      </c>
      <c r="H113" s="77">
        <v>36</v>
      </c>
      <c r="I113" s="6">
        <f t="shared" ca="1" si="6"/>
        <v>432.72741342318</v>
      </c>
      <c r="J113" s="6">
        <f t="shared" ca="1" si="7"/>
        <v>450</v>
      </c>
      <c r="K113" s="4">
        <f t="shared" ca="1" si="9"/>
        <v>0.84886415281605809</v>
      </c>
      <c r="L113" s="55">
        <f t="shared" ca="1" si="8"/>
        <v>8.1948388795036325E-2</v>
      </c>
    </row>
    <row r="114" spans="1:12" x14ac:dyDescent="0.25">
      <c r="A114" s="5"/>
      <c r="C114" s="2">
        <v>113</v>
      </c>
      <c r="D114" s="5">
        <v>597.72256819238623</v>
      </c>
      <c r="E114" s="5"/>
      <c r="F114" s="2">
        <f>D114*Katelaskelma!$D$41</f>
        <v>7135.5732189817945</v>
      </c>
      <c r="G114" s="5">
        <f>D114*Lähtötiedot!$C$11+Katelaskelma!$F$31-Katelaskelma!$F$46</f>
        <v>43744.762768034387</v>
      </c>
      <c r="H114" s="77">
        <v>37</v>
      </c>
      <c r="I114" s="6">
        <f t="shared" ca="1" si="6"/>
        <v>400.71791525809226</v>
      </c>
      <c r="J114" s="6">
        <f t="shared" ca="1" si="7"/>
        <v>400</v>
      </c>
      <c r="K114" s="4">
        <f t="shared" ca="1" si="9"/>
        <v>0.87399203791610725</v>
      </c>
      <c r="L114" s="55">
        <f t="shared" ca="1" si="8"/>
        <v>7.4994626261121064E-2</v>
      </c>
    </row>
    <row r="115" spans="1:12" x14ac:dyDescent="0.25">
      <c r="A115" s="5"/>
      <c r="C115" s="2">
        <v>114</v>
      </c>
      <c r="D115" s="5">
        <v>1114.2538377579783</v>
      </c>
      <c r="E115" s="5"/>
      <c r="F115" s="2">
        <f>D115*Katelaskelma!$D$41</f>
        <v>13301.889985345868</v>
      </c>
      <c r="G115" s="5">
        <f>D115*Lähtötiedot!$C$11+Katelaskelma!$F$31-Katelaskelma!$F$46</f>
        <v>117092.20304634847</v>
      </c>
      <c r="H115" s="77">
        <v>38</v>
      </c>
      <c r="I115" s="6">
        <f t="shared" ca="1" si="6"/>
        <v>368.70841709300453</v>
      </c>
      <c r="J115" s="6">
        <f t="shared" ca="1" si="7"/>
        <v>350</v>
      </c>
      <c r="K115" s="4">
        <f t="shared" ca="1" si="9"/>
        <v>0.89684148809878861</v>
      </c>
      <c r="L115" s="55">
        <f t="shared" ca="1" si="8"/>
        <v>6.7727451281583168E-2</v>
      </c>
    </row>
    <row r="116" spans="1:12" x14ac:dyDescent="0.25">
      <c r="A116" s="5"/>
      <c r="C116" s="2">
        <v>115</v>
      </c>
      <c r="D116" s="5">
        <v>940.35520471970881</v>
      </c>
      <c r="E116" s="5"/>
      <c r="F116" s="2">
        <f>D116*Katelaskelma!$D$41</f>
        <v>11225.899392455913</v>
      </c>
      <c r="G116" s="5">
        <f>D116*Lähtötiedot!$C$11+Katelaskelma!$F$31-Katelaskelma!$F$46</f>
        <v>92398.597154914198</v>
      </c>
      <c r="H116" s="77">
        <v>39</v>
      </c>
      <c r="I116" s="6">
        <f t="shared" ca="1" si="6"/>
        <v>336.69891892791679</v>
      </c>
      <c r="J116" s="6">
        <f t="shared" ca="1" si="7"/>
        <v>350</v>
      </c>
      <c r="K116" s="4">
        <f t="shared" ca="1" si="9"/>
        <v>0.91732710841192622</v>
      </c>
      <c r="L116" s="55">
        <f t="shared" ca="1" si="8"/>
        <v>6.024159966320497E-2</v>
      </c>
    </row>
    <row r="117" spans="1:12" x14ac:dyDescent="0.25">
      <c r="A117" s="5"/>
      <c r="C117" s="2">
        <v>116</v>
      </c>
      <c r="D117" s="5">
        <v>704.39625542821136</v>
      </c>
      <c r="E117" s="5"/>
      <c r="F117" s="2">
        <f>D117*Katelaskelma!$D$41</f>
        <v>8409.0367726701279</v>
      </c>
      <c r="G117" s="5">
        <f>D117*Lähtötiedot!$C$11+Katelaskelma!$F$31-Katelaskelma!$F$46</f>
        <v>58892.426355521544</v>
      </c>
      <c r="H117" s="77">
        <v>40</v>
      </c>
      <c r="I117" s="6">
        <f t="shared" ca="1" si="6"/>
        <v>304.68942076282906</v>
      </c>
      <c r="J117" s="6">
        <f t="shared" ca="1" si="7"/>
        <v>300</v>
      </c>
      <c r="K117" s="4">
        <f t="shared" ca="1" si="9"/>
        <v>0.93539524813184138</v>
      </c>
      <c r="L117" s="55">
        <f t="shared" ca="1" si="8"/>
        <v>5.2640701446633936E-2</v>
      </c>
    </row>
    <row r="118" spans="1:12" x14ac:dyDescent="0.25">
      <c r="A118" s="5"/>
      <c r="C118" s="2">
        <v>117</v>
      </c>
      <c r="D118" s="5">
        <v>911.173590053407</v>
      </c>
      <c r="E118" s="5"/>
      <c r="F118" s="2">
        <f>D118*Katelaskelma!$D$41</f>
        <v>10877.531170842289</v>
      </c>
      <c r="G118" s="5">
        <f>D118*Lähtötiedot!$C$11+Katelaskelma!$F$31-Katelaskelma!$F$46</f>
        <v>88254.807872299338</v>
      </c>
      <c r="H118" s="77">
        <v>41</v>
      </c>
      <c r="I118" s="6">
        <f t="shared" ca="1" si="6"/>
        <v>272.67992259774132</v>
      </c>
      <c r="J118" s="6">
        <f t="shared" ca="1" si="7"/>
        <v>250</v>
      </c>
      <c r="K118" s="4">
        <f t="shared" ca="1" si="9"/>
        <v>0.95102687155928645</v>
      </c>
      <c r="L118" s="55">
        <f t="shared" ca="1" si="8"/>
        <v>4.5037434367040552E-2</v>
      </c>
    </row>
    <row r="119" spans="1:12" x14ac:dyDescent="0.25">
      <c r="A119" s="5"/>
      <c r="C119" s="2">
        <v>118</v>
      </c>
      <c r="D119" s="5">
        <v>504.56922563434847</v>
      </c>
      <c r="E119" s="5"/>
      <c r="F119" s="2">
        <f>D119*Katelaskelma!$D$41</f>
        <v>6023.5146624077242</v>
      </c>
      <c r="G119" s="5">
        <f>D119*Lähtötiedot!$C$11+Katelaskelma!$F$31-Katelaskelma!$F$46</f>
        <v>30516.988124793017</v>
      </c>
      <c r="H119" s="77">
        <v>42</v>
      </c>
      <c r="I119" s="6">
        <f t="shared" ca="1" si="6"/>
        <v>240.67042443265362</v>
      </c>
      <c r="J119" s="6">
        <f t="shared" ca="1" si="7"/>
        <v>250</v>
      </c>
      <c r="K119" s="4">
        <f t="shared" ca="1" si="9"/>
        <v>0.9642404830918393</v>
      </c>
      <c r="L119" s="55">
        <f t="shared" ca="1" si="8"/>
        <v>3.7553711458380448E-2</v>
      </c>
    </row>
    <row r="120" spans="1:12" x14ac:dyDescent="0.25">
      <c r="A120" s="5"/>
      <c r="C120" s="2">
        <v>119</v>
      </c>
      <c r="D120" s="5">
        <v>257.63797357800951</v>
      </c>
      <c r="E120" s="5"/>
      <c r="F120" s="2">
        <f>D120*Katelaskelma!$D$41</f>
        <v>3075.6654044628076</v>
      </c>
      <c r="G120" s="5">
        <f>D120*Lähtötiedot!$C$11+Katelaskelma!$F$31-Katelaskelma!$F$46</f>
        <v>-4547.2496672071138</v>
      </c>
      <c r="H120" s="77">
        <v>43</v>
      </c>
      <c r="I120" s="6">
        <f t="shared" ca="1" si="6"/>
        <v>208.66092626756591</v>
      </c>
      <c r="J120" s="6">
        <f t="shared" ca="1" si="7"/>
        <v>200</v>
      </c>
      <c r="K120" s="4">
        <f t="shared" ca="1" si="9"/>
        <v>0.97509511968512119</v>
      </c>
      <c r="L120" s="55">
        <f t="shared" ca="1" si="8"/>
        <v>3.0320917578041333E-2</v>
      </c>
    </row>
    <row r="121" spans="1:12" x14ac:dyDescent="0.25">
      <c r="A121" s="5"/>
      <c r="C121" s="2">
        <v>120</v>
      </c>
      <c r="D121" s="5">
        <v>528.94359649765306</v>
      </c>
      <c r="E121" s="5"/>
      <c r="F121" s="2">
        <f>D121*Katelaskelma!$D$41</f>
        <v>6314.4943195548603</v>
      </c>
      <c r="G121" s="5">
        <f>D121*Lähtötiedot!$C$11+Katelaskelma!$F$31-Katelaskelma!$F$46</f>
        <v>33978.148787382263</v>
      </c>
      <c r="H121" s="77">
        <v>44</v>
      </c>
      <c r="I121" s="6">
        <f t="shared" ca="1" si="6"/>
        <v>176.65142810247821</v>
      </c>
      <c r="J121" s="6">
        <f t="shared" ca="1" si="7"/>
        <v>200</v>
      </c>
      <c r="K121" s="4">
        <f t="shared" ca="1" si="9"/>
        <v>0.98369342989540554</v>
      </c>
      <c r="L121" s="55">
        <f t="shared" ca="1" si="8"/>
        <v>2.3480219009592566E-2</v>
      </c>
    </row>
    <row r="122" spans="1:12" x14ac:dyDescent="0.25">
      <c r="A122" s="5"/>
      <c r="C122" s="2">
        <v>121</v>
      </c>
      <c r="D122" s="5">
        <v>627.41739858665574</v>
      </c>
      <c r="E122" s="5"/>
      <c r="F122" s="2">
        <f>D122*Katelaskelma!$D$41</f>
        <v>7490.0681766414091</v>
      </c>
      <c r="G122" s="5">
        <f>D122*Lähtötiedot!$C$11+Katelaskelma!$F$31-Katelaskelma!$F$46</f>
        <v>47961.428684020648</v>
      </c>
      <c r="H122" s="77">
        <v>45</v>
      </c>
      <c r="I122" s="6">
        <f t="shared" ca="1" si="6"/>
        <v>144.6419299373905</v>
      </c>
      <c r="J122" s="6">
        <f t="shared" ca="1" si="7"/>
        <v>150</v>
      </c>
      <c r="K122" s="4">
        <f t="shared" ca="1" si="9"/>
        <v>0.99018486897361702</v>
      </c>
      <c r="L122" s="55">
        <f t="shared" ca="1" si="8"/>
        <v>1.7182988234611708E-2</v>
      </c>
    </row>
    <row r="123" spans="1:12" x14ac:dyDescent="0.25">
      <c r="A123" s="5"/>
      <c r="C123" s="2">
        <v>122</v>
      </c>
      <c r="D123" s="5">
        <v>585.77652741048928</v>
      </c>
      <c r="E123" s="5"/>
      <c r="F123" s="2">
        <f>D123*Katelaskelma!$D$41</f>
        <v>6992.9621595835288</v>
      </c>
      <c r="G123" s="5">
        <f>D123*Lähtötiedot!$C$11+Katelaskelma!$F$31-Katelaskelma!$F$46</f>
        <v>42048.424977005023</v>
      </c>
      <c r="H123" s="77">
        <v>46</v>
      </c>
      <c r="I123" s="6">
        <f t="shared" ca="1" si="6"/>
        <v>112.63243177230279</v>
      </c>
      <c r="J123" s="6">
        <f t="shared" ca="1" si="7"/>
        <v>100</v>
      </c>
      <c r="K123" s="4">
        <f t="shared" ca="1" si="9"/>
        <v>0.99476905817991979</v>
      </c>
      <c r="L123" s="55">
        <f t="shared" ca="1" si="8"/>
        <v>1.1591423495795462E-2</v>
      </c>
    </row>
    <row r="124" spans="1:12" x14ac:dyDescent="0.25">
      <c r="A124" s="5"/>
      <c r="C124" s="2">
        <v>123</v>
      </c>
      <c r="D124" s="5">
        <v>648.88048203285257</v>
      </c>
      <c r="E124" s="5"/>
      <c r="F124" s="2">
        <f>D124*Katelaskelma!$D$41</f>
        <v>7746.2930735841646</v>
      </c>
      <c r="G124" s="5">
        <f>D124*Lähtötiedot!$C$11+Katelaskelma!$F$31-Katelaskelma!$F$46</f>
        <v>51009.186533380591</v>
      </c>
      <c r="H124" s="77">
        <v>47</v>
      </c>
      <c r="I124" s="6">
        <f t="shared" ca="1" si="6"/>
        <v>80.622933607215089</v>
      </c>
      <c r="J124" s="6">
        <f t="shared" ca="1" si="7"/>
        <v>100</v>
      </c>
      <c r="K124" s="4">
        <f t="shared" ca="1" si="9"/>
        <v>0.99769939401226393</v>
      </c>
      <c r="L124" s="55">
        <f t="shared" ca="1" si="8"/>
        <v>6.8795315241916037E-3</v>
      </c>
    </row>
    <row r="125" spans="1:12" x14ac:dyDescent="0.25">
      <c r="A125" s="5"/>
      <c r="C125" s="2">
        <v>124</v>
      </c>
      <c r="D125" s="5">
        <v>688.97178946449844</v>
      </c>
      <c r="E125" s="5"/>
      <c r="F125" s="2">
        <f>D125*Katelaskelma!$D$41</f>
        <v>8224.9004992471364</v>
      </c>
      <c r="G125" s="5">
        <f>D125*Lähtötiedot!$C$11+Katelaskelma!$F$31-Katelaskelma!$F$46</f>
        <v>56702.152188674314</v>
      </c>
      <c r="H125" s="77">
        <v>48</v>
      </c>
      <c r="I125" s="6">
        <f t="shared" ca="1" si="6"/>
        <v>48.613435442127376</v>
      </c>
      <c r="J125" s="6">
        <f t="shared" ca="1" si="7"/>
        <v>50</v>
      </c>
      <c r="K125" s="4">
        <f t="shared" ca="1" si="9"/>
        <v>0.99928707957367169</v>
      </c>
      <c r="L125" s="55">
        <f t="shared" ca="1" si="8"/>
        <v>3.2348922342426167E-3</v>
      </c>
    </row>
    <row r="126" spans="1:12" x14ac:dyDescent="0.25">
      <c r="A126" s="5"/>
      <c r="C126" s="2">
        <v>125</v>
      </c>
      <c r="D126" s="5">
        <v>628.55968361872851</v>
      </c>
      <c r="E126" s="5"/>
      <c r="F126" s="2">
        <f>D126*Katelaskelma!$D$41</f>
        <v>7503.7047012048897</v>
      </c>
      <c r="G126" s="5">
        <f>D126*Lähtötiedot!$C$11+Katelaskelma!$F$31-Katelaskelma!$F$46</f>
        <v>48123.633158574987</v>
      </c>
      <c r="H126" s="77">
        <v>49</v>
      </c>
      <c r="I126" s="6">
        <f t="shared" ca="1" si="6"/>
        <v>16.603937277039662</v>
      </c>
      <c r="J126" s="6">
        <f t="shared" ca="1" si="7"/>
        <v>0</v>
      </c>
      <c r="K126" s="4">
        <f t="shared" ca="1" si="9"/>
        <v>0.99990599902484256</v>
      </c>
      <c r="L126" s="55">
        <f t="shared" ca="1" si="8"/>
        <v>8.625693837438494E-4</v>
      </c>
    </row>
    <row r="127" spans="1:12" x14ac:dyDescent="0.25">
      <c r="A127" s="5"/>
      <c r="C127" s="2">
        <v>126</v>
      </c>
      <c r="D127" s="5">
        <v>1095.1044737411987</v>
      </c>
      <c r="E127" s="5"/>
      <c r="F127" s="2">
        <f>D127*Katelaskelma!$D$41</f>
        <v>13073.286120760507</v>
      </c>
      <c r="G127" s="5">
        <f>D127*Lähtötiedot!$C$11+Katelaskelma!$F$31-Katelaskelma!$F$46</f>
        <v>114372.99335596577</v>
      </c>
      <c r="H127" s="77">
        <v>50</v>
      </c>
      <c r="I127" s="6">
        <f ca="1">K4</f>
        <v>-15.405560888047319</v>
      </c>
      <c r="J127" s="6" t="e">
        <f t="shared" ca="1" si="7"/>
        <v>#NUM!</v>
      </c>
      <c r="K127" s="4">
        <f t="shared" ca="1" si="9"/>
        <v>1</v>
      </c>
      <c r="L127" s="55">
        <f t="shared" ca="1" si="8"/>
        <v>0</v>
      </c>
    </row>
    <row r="128" spans="1:12" x14ac:dyDescent="0.25">
      <c r="A128" s="5"/>
      <c r="C128" s="2">
        <v>127</v>
      </c>
      <c r="D128" s="5">
        <v>917.20399766849209</v>
      </c>
      <c r="E128" s="5"/>
      <c r="F128" s="2">
        <f>D128*Katelaskelma!$D$41</f>
        <v>10949.521785497975</v>
      </c>
      <c r="G128" s="5">
        <f>D128*Lähtötiedot!$C$11+Katelaskelma!$F$31-Katelaskelma!$F$46</f>
        <v>89111.12575364142</v>
      </c>
      <c r="H128" s="1"/>
    </row>
    <row r="129" spans="1:12" x14ac:dyDescent="0.25">
      <c r="A129" s="5"/>
      <c r="C129" s="2">
        <v>128</v>
      </c>
      <c r="D129" s="5">
        <v>1272.6146962966516</v>
      </c>
      <c r="E129" s="5"/>
      <c r="F129" s="2">
        <f>D129*Katelaskelma!$D$41</f>
        <v>15192.391634866679</v>
      </c>
      <c r="G129" s="5">
        <f>D129*Lähtötiedot!$C$11+Katelaskelma!$F$31-Katelaskelma!$F$46</f>
        <v>139579.44495884006</v>
      </c>
      <c r="H129" s="1"/>
      <c r="K129" s="1" t="s">
        <v>87</v>
      </c>
    </row>
    <row r="130" spans="1:12" x14ac:dyDescent="0.25">
      <c r="A130" s="5"/>
      <c r="C130" s="2">
        <v>129</v>
      </c>
      <c r="D130" s="5">
        <v>292.45894693462589</v>
      </c>
      <c r="E130" s="5"/>
      <c r="F130" s="2">
        <f>D130*Katelaskelma!$D$41</f>
        <v>3491.3559240524532</v>
      </c>
      <c r="G130" s="5">
        <f>D130*Lähtötiedot!$C$11+Katelaskelma!$F$31-Katelaskelma!$F$46</f>
        <v>397.32854943240818</v>
      </c>
      <c r="H130" s="77">
        <v>1</v>
      </c>
      <c r="I130" s="6">
        <f ca="1">L5</f>
        <v>18540.327665642773</v>
      </c>
      <c r="J130" s="6">
        <f ca="1">MROUND(I130,50)</f>
        <v>18550</v>
      </c>
      <c r="K130" s="4">
        <f ca="1">1-_xlfn.BETA.DIST($I130,$L$8,$L$9,TRUE,$L$4,$L$5)</f>
        <v>0</v>
      </c>
      <c r="L130" s="55">
        <f ca="1">IF(AND($L$4&lt;I130,I130&lt;$L$5),(I130-$L$4)^($L$8-1)*($L$5-I130)^($L$9-1)/$L$10/(($L$5-$L$4)^($L$8+$L$9-1)),0)*100</f>
        <v>0</v>
      </c>
    </row>
    <row r="131" spans="1:12" x14ac:dyDescent="0.25">
      <c r="A131" s="5"/>
      <c r="C131" s="2">
        <v>130</v>
      </c>
      <c r="D131" s="5">
        <v>786.10217946975831</v>
      </c>
      <c r="E131" s="5"/>
      <c r="F131" s="2">
        <f>D131*Katelaskelma!$D$41</f>
        <v>9384.436790083173</v>
      </c>
      <c r="G131" s="5">
        <f>D131*Lähtötiedot!$C$11+Katelaskelma!$F$31-Katelaskelma!$F$46</f>
        <v>70494.667569421203</v>
      </c>
      <c r="H131" s="77">
        <v>2</v>
      </c>
      <c r="I131" s="6">
        <f ca="1">I130-(($I$130-$I$179)/($H$179-1))</f>
        <v>18158.200354387678</v>
      </c>
      <c r="J131" s="6">
        <f t="shared" ref="J131:J179" ca="1" si="10">MROUND(I131,50)</f>
        <v>18150</v>
      </c>
      <c r="K131" s="4">
        <f t="shared" ref="K131:K179" ca="1" si="11">1-_xlfn.BETA.DIST($I131,$L$8,$L$9,TRUE,$L$4,$L$5)</f>
        <v>7.2214270519621593E-5</v>
      </c>
      <c r="L131" s="55">
        <f ca="1">IF(AND($L$4&lt;I131,I131&lt;$L$5),(I131-$L$4)^($L$8-1)*($L$5-I131)^($L$9-1)/$L$10/(($L$5-$L$4)^($L$8+$L$9-1)),0)*100</f>
        <v>5.6706085227123938E-5</v>
      </c>
    </row>
    <row r="132" spans="1:12" x14ac:dyDescent="0.25">
      <c r="A132" s="5"/>
      <c r="C132" s="2">
        <v>131</v>
      </c>
      <c r="D132" s="5">
        <v>994.99212586783892</v>
      </c>
      <c r="E132" s="5"/>
      <c r="F132" s="2">
        <f>D132*Katelaskelma!$D$41</f>
        <v>11878.151410463593</v>
      </c>
      <c r="G132" s="5">
        <f>D132*Lähtötiedot!$C$11+Katelaskelma!$F$31-Katelaskelma!$F$46</f>
        <v>100157.03995794867</v>
      </c>
      <c r="H132" s="77">
        <v>3</v>
      </c>
      <c r="I132" s="6">
        <f t="shared" ref="I132:I177" ca="1" si="12">I131-(($I$130-$I$179)/($H$179-1))</f>
        <v>17776.073043132583</v>
      </c>
      <c r="J132" s="6">
        <f t="shared" ca="1" si="10"/>
        <v>17800</v>
      </c>
      <c r="K132" s="4">
        <f t="shared" ca="1" si="11"/>
        <v>5.7243340997970016E-4</v>
      </c>
      <c r="L132" s="55">
        <f t="shared" ref="L132:L179" ca="1" si="13">IF(AND($L$4&lt;I132,I132&lt;$L$5),(I132-$L$4)^($L$8-1)*($L$5-I132)^($L$9-1)/$L$10/(($L$5-$L$4)^($L$8+$L$9-1)),0)*100</f>
        <v>2.2238748989178829E-4</v>
      </c>
    </row>
    <row r="133" spans="1:12" x14ac:dyDescent="0.25">
      <c r="A133" s="5"/>
      <c r="C133" s="2">
        <v>132</v>
      </c>
      <c r="D133" s="5">
        <v>329.13229833160159</v>
      </c>
      <c r="E133" s="5"/>
      <c r="F133" s="2">
        <f>D133*Katelaskelma!$D$41</f>
        <v>3929.1600124440779</v>
      </c>
      <c r="G133" s="5">
        <f>D133*Lähtötiedot!$C$11+Katelaskelma!$F$31-Katelaskelma!$F$46</f>
        <v>5604.9444478029618</v>
      </c>
      <c r="H133" s="77">
        <v>4</v>
      </c>
      <c r="I133" s="6">
        <f t="shared" ca="1" si="12"/>
        <v>17393.945731877488</v>
      </c>
      <c r="J133" s="6">
        <f t="shared" ca="1" si="10"/>
        <v>17400</v>
      </c>
      <c r="K133" s="4">
        <f t="shared" ca="1" si="11"/>
        <v>1.8962761154512897E-3</v>
      </c>
      <c r="L133" s="55">
        <f t="shared" ca="1" si="13"/>
        <v>4.8575383323344639E-4</v>
      </c>
    </row>
    <row r="134" spans="1:12" x14ac:dyDescent="0.25">
      <c r="A134" s="5"/>
      <c r="C134" s="2">
        <v>133</v>
      </c>
      <c r="D134" s="5">
        <v>830.80680085428253</v>
      </c>
      <c r="E134" s="5"/>
      <c r="F134" s="2">
        <f>D134*Katelaskelma!$D$41</f>
        <v>9918.117658250525</v>
      </c>
      <c r="G134" s="5">
        <f>D134*Lähtötiedot!$C$11+Katelaskelma!$F$31-Katelaskelma!$F$46</f>
        <v>76842.723806023656</v>
      </c>
      <c r="H134" s="77">
        <v>5</v>
      </c>
      <c r="I134" s="6">
        <f t="shared" ca="1" si="12"/>
        <v>17011.818420622392</v>
      </c>
      <c r="J134" s="6">
        <f t="shared" ca="1" si="10"/>
        <v>17000</v>
      </c>
      <c r="K134" s="4">
        <f t="shared" ca="1" si="11"/>
        <v>4.3935470704556945E-3</v>
      </c>
      <c r="L134" s="55">
        <f t="shared" ca="1" si="13"/>
        <v>8.3447245010120322E-4</v>
      </c>
    </row>
    <row r="135" spans="1:12" x14ac:dyDescent="0.25">
      <c r="A135" s="5"/>
      <c r="C135" s="2">
        <v>134</v>
      </c>
      <c r="D135" s="5">
        <v>387.55417844259347</v>
      </c>
      <c r="E135" s="5"/>
      <c r="F135" s="2">
        <f>D135*Katelaskelma!$D$41</f>
        <v>4626.5966248565137</v>
      </c>
      <c r="G135" s="5">
        <f>D135*Lähtötiedot!$C$11+Katelaskelma!$F$31-Katelaskelma!$F$46</f>
        <v>13900.851423563814</v>
      </c>
      <c r="H135" s="77">
        <v>6</v>
      </c>
      <c r="I135" s="6">
        <f t="shared" ca="1" si="12"/>
        <v>16629.691109367297</v>
      </c>
      <c r="J135" s="6">
        <f t="shared" ca="1" si="10"/>
        <v>16650</v>
      </c>
      <c r="K135" s="4">
        <f t="shared" ca="1" si="11"/>
        <v>8.3667256949435664E-3</v>
      </c>
      <c r="L135" s="55">
        <f t="shared" ca="1" si="13"/>
        <v>1.2561768526142775E-3</v>
      </c>
    </row>
    <row r="136" spans="1:12" x14ac:dyDescent="0.25">
      <c r="A136" s="5"/>
      <c r="C136" s="2">
        <v>135</v>
      </c>
      <c r="D136" s="5">
        <v>998.08406187944115</v>
      </c>
      <c r="E136" s="5"/>
      <c r="F136" s="2">
        <f>D136*Katelaskelma!$D$41</f>
        <v>11915.062741862566</v>
      </c>
      <c r="G136" s="5">
        <f>D136*Lähtötiedot!$C$11+Katelaskelma!$F$31-Katelaskelma!$F$46</f>
        <v>100596.09487159617</v>
      </c>
      <c r="H136" s="77">
        <v>7</v>
      </c>
      <c r="I136" s="6">
        <f t="shared" ca="1" si="12"/>
        <v>16247.563798112202</v>
      </c>
      <c r="J136" s="6">
        <f t="shared" ca="1" si="10"/>
        <v>16250</v>
      </c>
      <c r="K136" s="4">
        <f t="shared" ca="1" si="11"/>
        <v>1.4071444105441699E-2</v>
      </c>
      <c r="L136" s="55">
        <f t="shared" ca="1" si="13"/>
        <v>1.7387431671056896E-3</v>
      </c>
    </row>
    <row r="137" spans="1:12" x14ac:dyDescent="0.25">
      <c r="A137" s="5"/>
      <c r="C137" s="2">
        <v>136</v>
      </c>
      <c r="D137" s="5">
        <v>571.37950532310992</v>
      </c>
      <c r="E137" s="5"/>
      <c r="F137" s="2">
        <f>D137*Katelaskelma!$D$41</f>
        <v>6821.0914444615128</v>
      </c>
      <c r="G137" s="5">
        <f>D137*Lähtötiedot!$C$11+Katelaskelma!$F$31-Katelaskelma!$F$46</f>
        <v>40004.047840597137</v>
      </c>
      <c r="H137" s="77">
        <v>8</v>
      </c>
      <c r="I137" s="6">
        <f t="shared" ca="1" si="12"/>
        <v>15865.436486857107</v>
      </c>
      <c r="J137" s="6">
        <f t="shared" ca="1" si="10"/>
        <v>15850</v>
      </c>
      <c r="K137" s="4">
        <f t="shared" ca="1" si="11"/>
        <v>2.1717683626814144E-2</v>
      </c>
      <c r="L137" s="55">
        <f t="shared" ca="1" si="13"/>
        <v>2.2704175631696479E-3</v>
      </c>
    </row>
    <row r="138" spans="1:12" x14ac:dyDescent="0.25">
      <c r="A138" s="5"/>
      <c r="C138" s="2">
        <v>137</v>
      </c>
      <c r="D138" s="5">
        <v>572.95358360360865</v>
      </c>
      <c r="E138" s="5"/>
      <c r="F138" s="2">
        <f>D138*Katelaskelma!$D$41</f>
        <v>6839.8826887956102</v>
      </c>
      <c r="G138" s="5">
        <f>D138*Lähtötiedot!$C$11+Katelaskelma!$F$31-Katelaskelma!$F$46</f>
        <v>40227.566956427967</v>
      </c>
      <c r="H138" s="77">
        <v>9</v>
      </c>
      <c r="I138" s="6">
        <f t="shared" ca="1" si="12"/>
        <v>15483.309175602011</v>
      </c>
      <c r="J138" s="6">
        <f t="shared" ca="1" si="10"/>
        <v>15500</v>
      </c>
      <c r="K138" s="4">
        <f t="shared" ca="1" si="11"/>
        <v>3.1471337927762466E-2</v>
      </c>
      <c r="L138" s="55">
        <f t="shared" ca="1" si="13"/>
        <v>2.839888347028995E-3</v>
      </c>
    </row>
    <row r="139" spans="1:12" x14ac:dyDescent="0.25">
      <c r="A139" s="5"/>
      <c r="C139" s="2">
        <v>138</v>
      </c>
      <c r="D139" s="5">
        <v>311.23148294789036</v>
      </c>
      <c r="E139" s="5"/>
      <c r="F139" s="2">
        <f>D139*Katelaskelma!$D$41</f>
        <v>3715.4612403929709</v>
      </c>
      <c r="G139" s="5">
        <f>D139*Lähtötiedot!$C$11+Katelaskelma!$F$31-Katelaskelma!$F$46</f>
        <v>3063.0286633159558</v>
      </c>
      <c r="H139" s="77">
        <v>10</v>
      </c>
      <c r="I139" s="6">
        <f t="shared" ca="1" si="12"/>
        <v>15101.181864346916</v>
      </c>
      <c r="J139" s="6">
        <f t="shared" ca="1" si="10"/>
        <v>15100</v>
      </c>
      <c r="K139" s="4">
        <f t="shared" ca="1" si="11"/>
        <v>4.3455996373176542E-2</v>
      </c>
      <c r="L139" s="55">
        <f t="shared" ca="1" si="13"/>
        <v>3.4363320027042603E-3</v>
      </c>
    </row>
    <row r="140" spans="1:12" x14ac:dyDescent="0.25">
      <c r="A140" s="5"/>
      <c r="C140" s="2">
        <v>139</v>
      </c>
      <c r="D140" s="5">
        <v>697.9412430353002</v>
      </c>
      <c r="E140" s="5"/>
      <c r="F140" s="2">
        <f>D140*Katelaskelma!$D$41</f>
        <v>8331.97725373922</v>
      </c>
      <c r="G140" s="5">
        <f>D140*Lähtötiedot!$C$11+Katelaskelma!$F$31-Katelaskelma!$F$46</f>
        <v>57975.814595728152</v>
      </c>
      <c r="H140" s="77">
        <v>11</v>
      </c>
      <c r="I140" s="6">
        <f t="shared" ca="1" si="12"/>
        <v>14719.054553091821</v>
      </c>
      <c r="J140" s="6">
        <f t="shared" ca="1" si="10"/>
        <v>14700</v>
      </c>
      <c r="K140" s="4">
        <f t="shared" ca="1" si="11"/>
        <v>5.7754873837212894E-2</v>
      </c>
      <c r="L140" s="55">
        <f t="shared" ca="1" si="13"/>
        <v>4.0494451082044242E-3</v>
      </c>
    </row>
    <row r="141" spans="1:12" x14ac:dyDescent="0.25">
      <c r="A141" s="5"/>
      <c r="C141" s="2">
        <v>140</v>
      </c>
      <c r="D141" s="5">
        <v>740.51241207631233</v>
      </c>
      <c r="E141" s="5"/>
      <c r="F141" s="2">
        <f>D141*Katelaskelma!$D$41</f>
        <v>8840.1891063189942</v>
      </c>
      <c r="G141" s="5">
        <f>D141*Lähtötiedot!$C$11+Katelaskelma!$F$31-Katelaskelma!$F$46</f>
        <v>64020.920599551871</v>
      </c>
      <c r="H141" s="77">
        <v>12</v>
      </c>
      <c r="I141" s="6">
        <f t="shared" ca="1" si="12"/>
        <v>14336.927241836725</v>
      </c>
      <c r="J141" s="6">
        <f t="shared" ca="1" si="10"/>
        <v>14350</v>
      </c>
      <c r="K141" s="4">
        <f t="shared" ca="1" si="11"/>
        <v>7.4412845104316006E-2</v>
      </c>
      <c r="L141" s="55">
        <f t="shared" ca="1" si="13"/>
        <v>4.6694678261236027E-3</v>
      </c>
    </row>
    <row r="142" spans="1:12" x14ac:dyDescent="0.25">
      <c r="A142" s="5"/>
      <c r="C142" s="2">
        <v>141</v>
      </c>
      <c r="D142" s="5">
        <v>970.45019656770933</v>
      </c>
      <c r="E142" s="5"/>
      <c r="F142" s="2">
        <f>D142*Katelaskelma!$D$41</f>
        <v>11585.171451574399</v>
      </c>
      <c r="G142" s="5">
        <f>D142*Lähtötiedot!$C$11+Katelaskelma!$F$31-Katelaskelma!$F$46</f>
        <v>96672.085997330258</v>
      </c>
      <c r="H142" s="77">
        <v>13</v>
      </c>
      <c r="I142" s="6">
        <f t="shared" ca="1" si="12"/>
        <v>13954.79993058163</v>
      </c>
      <c r="J142" s="6">
        <f t="shared" ca="1" si="10"/>
        <v>13950</v>
      </c>
      <c r="K142" s="4">
        <f t="shared" ca="1" si="11"/>
        <v>9.3438558028948737E-2</v>
      </c>
      <c r="L142" s="55">
        <f t="shared" ca="1" si="13"/>
        <v>5.2872020081000341E-3</v>
      </c>
    </row>
    <row r="143" spans="1:12" x14ac:dyDescent="0.25">
      <c r="A143" s="5"/>
      <c r="C143" s="2">
        <v>142</v>
      </c>
      <c r="D143" s="5">
        <v>778.0208090254248</v>
      </c>
      <c r="E143" s="5"/>
      <c r="F143" s="2">
        <f>D143*Katelaskelma!$D$41</f>
        <v>9287.9619143065283</v>
      </c>
      <c r="G143" s="5">
        <f>D143*Lähtötiedot!$C$11+Katelaskelma!$F$31-Katelaskelma!$F$46</f>
        <v>69347.112966325862</v>
      </c>
      <c r="H143" s="77">
        <v>14</v>
      </c>
      <c r="I143" s="6">
        <f t="shared" ca="1" si="12"/>
        <v>13572.672619326535</v>
      </c>
      <c r="J143" s="6">
        <f t="shared" ca="1" si="10"/>
        <v>13550</v>
      </c>
      <c r="K143" s="4">
        <f t="shared" ca="1" si="11"/>
        <v>0.11480660851607083</v>
      </c>
      <c r="L143" s="55">
        <f t="shared" ca="1" si="13"/>
        <v>5.8940256710000982E-3</v>
      </c>
    </row>
    <row r="144" spans="1:12" x14ac:dyDescent="0.25">
      <c r="A144" s="5"/>
      <c r="C144" s="2">
        <v>143</v>
      </c>
      <c r="D144" s="5">
        <v>577.57924345032393</v>
      </c>
      <c r="E144" s="5"/>
      <c r="F144" s="2">
        <f>D144*Katelaskelma!$D$41</f>
        <v>6895.1035157792039</v>
      </c>
      <c r="G144" s="5">
        <f>D144*Lähtötiedot!$C$11+Katelaskelma!$F$31-Katelaskelma!$F$46</f>
        <v>40884.410654661537</v>
      </c>
      <c r="H144" s="77">
        <v>15</v>
      </c>
      <c r="I144" s="6">
        <f t="shared" ca="1" si="12"/>
        <v>13190.54530807144</v>
      </c>
      <c r="J144" s="6">
        <f t="shared" ca="1" si="10"/>
        <v>13200</v>
      </c>
      <c r="K144" s="4">
        <f t="shared" ca="1" si="11"/>
        <v>0.13845976568306551</v>
      </c>
      <c r="L144" s="55">
        <f t="shared" ca="1" si="13"/>
        <v>6.4819049274620587E-3</v>
      </c>
    </row>
    <row r="145" spans="1:12" x14ac:dyDescent="0.25">
      <c r="A145" s="5"/>
      <c r="C145" s="2">
        <v>144</v>
      </c>
      <c r="D145" s="5">
        <v>544.24018344742058</v>
      </c>
      <c r="E145" s="5"/>
      <c r="F145" s="2">
        <f>D145*Katelaskelma!$D$41</f>
        <v>6497.1039816104112</v>
      </c>
      <c r="G145" s="5">
        <f>D145*Lähtötiedot!$C$11+Katelaskelma!$F$31-Katelaskelma!$F$46</f>
        <v>36150.264134249242</v>
      </c>
      <c r="H145" s="77">
        <v>16</v>
      </c>
      <c r="I145" s="6">
        <f t="shared" ca="1" si="12"/>
        <v>12808.417996816344</v>
      </c>
      <c r="J145" s="6">
        <f t="shared" ca="1" si="10"/>
        <v>12800</v>
      </c>
      <c r="K145" s="4">
        <f t="shared" ca="1" si="11"/>
        <v>0.16431123890711052</v>
      </c>
      <c r="L145" s="55">
        <f t="shared" ca="1" si="13"/>
        <v>7.0434040721595809E-3</v>
      </c>
    </row>
    <row r="146" spans="1:12" x14ac:dyDescent="0.25">
      <c r="A146" s="5"/>
      <c r="C146" s="2">
        <v>145</v>
      </c>
      <c r="D146" s="5">
        <v>777.50438483762787</v>
      </c>
      <c r="E146" s="5"/>
      <c r="F146" s="2">
        <f>D146*Katelaskelma!$D$41</f>
        <v>9281.7968758753668</v>
      </c>
      <c r="G146" s="5">
        <f>D146*Lähtötiedot!$C$11+Katelaskelma!$F$31-Katelaskelma!$F$46</f>
        <v>69273.780731658684</v>
      </c>
      <c r="H146" s="77">
        <v>17</v>
      </c>
      <c r="I146" s="6">
        <f t="shared" ca="1" si="12"/>
        <v>12426.290685561249</v>
      </c>
      <c r="J146" s="6">
        <f t="shared" ca="1" si="10"/>
        <v>12450</v>
      </c>
      <c r="K146" s="4">
        <f t="shared" ca="1" si="11"/>
        <v>0.19224698067189516</v>
      </c>
      <c r="L146" s="55">
        <f t="shared" ca="1" si="13"/>
        <v>7.5716942976066645E-3</v>
      </c>
    </row>
    <row r="147" spans="1:12" x14ac:dyDescent="0.25">
      <c r="A147" s="5"/>
      <c r="C147" s="2">
        <v>146</v>
      </c>
      <c r="D147" s="5">
        <v>1111.1202786874289</v>
      </c>
      <c r="E147" s="5"/>
      <c r="F147" s="2">
        <f>D147*Katelaskelma!$D$41</f>
        <v>13264.48176057107</v>
      </c>
      <c r="G147" s="5">
        <f>D147*Lähtötiedot!$C$11+Katelaskelma!$F$31-Katelaskelma!$F$46</f>
        <v>116647.23765833044</v>
      </c>
      <c r="H147" s="77">
        <v>18</v>
      </c>
      <c r="I147" s="6">
        <f t="shared" ca="1" si="12"/>
        <v>12044.163374306154</v>
      </c>
      <c r="J147" s="6">
        <f t="shared" ca="1" si="10"/>
        <v>12050</v>
      </c>
      <c r="K147" s="4">
        <f t="shared" ca="1" si="11"/>
        <v>0.22212802064647785</v>
      </c>
      <c r="L147" s="55">
        <f t="shared" ca="1" si="13"/>
        <v>8.0605613712734399E-3</v>
      </c>
    </row>
    <row r="148" spans="1:12" x14ac:dyDescent="0.25">
      <c r="A148" s="5"/>
      <c r="C148" s="2">
        <v>147</v>
      </c>
      <c r="D148" s="5">
        <v>518.97516978333965</v>
      </c>
      <c r="E148" s="5"/>
      <c r="F148" s="2">
        <f>D148*Katelaskelma!$D$41</f>
        <v>6195.4918885221023</v>
      </c>
      <c r="G148" s="5">
        <f>D148*Lähtötiedot!$C$11+Katelaskelma!$F$31-Katelaskelma!$F$46</f>
        <v>32562.632193949772</v>
      </c>
      <c r="H148" s="77">
        <v>19</v>
      </c>
      <c r="I148" s="6">
        <f t="shared" ca="1" si="12"/>
        <v>11662.036063051059</v>
      </c>
      <c r="J148" s="6">
        <f t="shared" ca="1" si="10"/>
        <v>11650</v>
      </c>
      <c r="K148" s="4">
        <f t="shared" ca="1" si="11"/>
        <v>0.25379282750881615</v>
      </c>
      <c r="L148" s="55">
        <f t="shared" ca="1" si="13"/>
        <v>8.5044125137417742E-3</v>
      </c>
    </row>
    <row r="149" spans="1:12" x14ac:dyDescent="0.25">
      <c r="A149" s="5"/>
      <c r="C149" s="2">
        <v>148</v>
      </c>
      <c r="D149" s="5">
        <v>583.74205184205107</v>
      </c>
      <c r="E149" s="5"/>
      <c r="F149" s="2">
        <f>D149*Katelaskelma!$D$41</f>
        <v>6968.6747223118819</v>
      </c>
      <c r="G149" s="5">
        <f>D149*Lähtötiedot!$C$11+Katelaskelma!$F$31-Katelaskelma!$F$46</f>
        <v>41759.52944628679</v>
      </c>
      <c r="H149" s="77">
        <v>20</v>
      </c>
      <c r="I149" s="6">
        <f t="shared" ca="1" si="12"/>
        <v>11279.908751795963</v>
      </c>
      <c r="J149" s="6">
        <f t="shared" ca="1" si="10"/>
        <v>11300</v>
      </c>
      <c r="K149" s="4">
        <f t="shared" ca="1" si="11"/>
        <v>0.28705969581747603</v>
      </c>
      <c r="L149" s="55">
        <f t="shared" ca="1" si="13"/>
        <v>8.898282656139225E-3</v>
      </c>
    </row>
    <row r="150" spans="1:12" x14ac:dyDescent="0.25">
      <c r="A150" s="5"/>
      <c r="C150" s="2">
        <v>149</v>
      </c>
      <c r="D150" s="5">
        <v>722.84533442485849</v>
      </c>
      <c r="E150" s="5"/>
      <c r="F150" s="2">
        <f>D150*Katelaskelma!$D$41</f>
        <v>8629.2806801429051</v>
      </c>
      <c r="G150" s="5">
        <f>D150*Lähtötiedot!$C$11+Katelaskelma!$F$31-Katelaskelma!$F$46</f>
        <v>61512.195573045436</v>
      </c>
      <c r="H150" s="77">
        <v>21</v>
      </c>
      <c r="I150" s="6">
        <f t="shared" ca="1" si="12"/>
        <v>10897.781440540868</v>
      </c>
      <c r="J150" s="6">
        <f t="shared" ca="1" si="10"/>
        <v>10900</v>
      </c>
      <c r="K150" s="4">
        <f t="shared" ca="1" si="11"/>
        <v>0.32172915583075157</v>
      </c>
      <c r="L150" s="55">
        <f t="shared" ca="1" si="13"/>
        <v>9.2378402129750341E-3</v>
      </c>
    </row>
    <row r="151" spans="1:12" x14ac:dyDescent="0.25">
      <c r="A151" s="5"/>
      <c r="C151" s="2">
        <v>150</v>
      </c>
      <c r="D151" s="5">
        <v>939.71329880038388</v>
      </c>
      <c r="E151" s="5"/>
      <c r="F151" s="2">
        <f>D151*Katelaskelma!$D$41</f>
        <v>11218.236361259194</v>
      </c>
      <c r="G151" s="5">
        <f>D151*Lähtötiedot!$C$11+Katelaskelma!$F$31-Katelaskelma!$F$46</f>
        <v>92307.446514370065</v>
      </c>
      <c r="H151" s="77">
        <v>22</v>
      </c>
      <c r="I151" s="6">
        <f t="shared" ca="1" si="12"/>
        <v>10515.654129285773</v>
      </c>
      <c r="J151" s="6">
        <f t="shared" ca="1" si="10"/>
        <v>10500</v>
      </c>
      <c r="K151" s="4">
        <f t="shared" ca="1" si="11"/>
        <v>0.35758640463311853</v>
      </c>
      <c r="L151" s="55">
        <f ca="1">IF(AND($L$4&lt;I151,I151&lt;$L$5),(I151-$L$4)^($L$8-1)*($L$5-I151)^($L$9-1)/$L$10/(($L$5-$L$4)^($L$8+$L$9-1)),0)*100</f>
        <v>9.519392477097979E-3</v>
      </c>
    </row>
    <row r="152" spans="1:12" x14ac:dyDescent="0.25">
      <c r="A152" s="5"/>
      <c r="C152" s="2">
        <v>151</v>
      </c>
      <c r="D152" s="5">
        <v>799.04932831812152</v>
      </c>
      <c r="E152" s="5"/>
      <c r="F152" s="2">
        <f>D152*Katelaskelma!$D$41</f>
        <v>9538.9990125937602</v>
      </c>
      <c r="G152" s="5">
        <f>D152*Lähtötiedot!$C$11+Katelaskelma!$F$31-Katelaskelma!$F$46</f>
        <v>72333.162705888797</v>
      </c>
      <c r="H152" s="77">
        <v>23</v>
      </c>
      <c r="I152" s="6">
        <f t="shared" ca="1" si="12"/>
        <v>10133.526818030678</v>
      </c>
      <c r="J152" s="6">
        <f t="shared" ca="1" si="10"/>
        <v>10150</v>
      </c>
      <c r="K152" s="4">
        <f t="shared" ca="1" si="11"/>
        <v>0.39440375729476174</v>
      </c>
      <c r="L152" s="55">
        <f t="shared" ca="1" si="13"/>
        <v>9.7398907226988601E-3</v>
      </c>
    </row>
    <row r="153" spans="1:12" x14ac:dyDescent="0.25">
      <c r="A153" s="5"/>
      <c r="C153" s="2">
        <v>152</v>
      </c>
      <c r="D153" s="5">
        <v>540.98117089174798</v>
      </c>
      <c r="E153" s="5"/>
      <c r="F153" s="2">
        <f>D153*Katelaskelma!$D$41</f>
        <v>6458.1981012738033</v>
      </c>
      <c r="G153" s="5">
        <f>D153*Lähtötiedot!$C$11+Katelaskelma!$F$31-Katelaskelma!$F$46</f>
        <v>35687.484351343737</v>
      </c>
      <c r="H153" s="77">
        <v>24</v>
      </c>
      <c r="I153" s="6">
        <f t="shared" ca="1" si="12"/>
        <v>9751.3995067755823</v>
      </c>
      <c r="J153" s="6">
        <f t="shared" ca="1" si="10"/>
        <v>9750</v>
      </c>
      <c r="K153" s="4">
        <f t="shared" ca="1" si="11"/>
        <v>0.43194311708839495</v>
      </c>
      <c r="L153" s="55">
        <f t="shared" ca="1" si="13"/>
        <v>9.8969350874972342E-3</v>
      </c>
    </row>
    <row r="154" spans="1:12" x14ac:dyDescent="0.25">
      <c r="A154" s="5"/>
      <c r="C154" s="2">
        <v>153</v>
      </c>
      <c r="D154" s="5">
        <v>1372.2763102273668</v>
      </c>
      <c r="E154" s="5"/>
      <c r="F154" s="2">
        <f>D154*Katelaskelma!$D$41</f>
        <v>16382.145512614896</v>
      </c>
      <c r="G154" s="5">
        <f>D154*Lähtötiedot!$C$11+Katelaskelma!$F$31-Katelaskelma!$F$46</f>
        <v>153731.39413700163</v>
      </c>
      <c r="H154" s="77">
        <v>25</v>
      </c>
      <c r="I154" s="6">
        <f t="shared" ca="1" si="12"/>
        <v>9369.272195520487</v>
      </c>
      <c r="J154" s="6">
        <f t="shared" ca="1" si="10"/>
        <v>9350</v>
      </c>
      <c r="K154" s="4">
        <f t="shared" ca="1" si="11"/>
        <v>0.46995846403830321</v>
      </c>
      <c r="L154" s="55">
        <f t="shared" ca="1" si="13"/>
        <v>9.9887792948109792E-3</v>
      </c>
    </row>
    <row r="155" spans="1:12" x14ac:dyDescent="0.25">
      <c r="A155" s="5"/>
      <c r="C155" s="2">
        <v>154</v>
      </c>
      <c r="D155" s="5">
        <v>1045.6636383044167</v>
      </c>
      <c r="E155" s="5"/>
      <c r="F155" s="2">
        <f>D155*Katelaskelma!$D$41</f>
        <v>12483.064636680227</v>
      </c>
      <c r="G155" s="5">
        <f>D155*Lähtötiedot!$C$11+Katelaskelma!$F$31-Katelaskelma!$F$46</f>
        <v>107352.39472394271</v>
      </c>
      <c r="H155" s="77">
        <v>26</v>
      </c>
      <c r="I155" s="6">
        <f t="shared" ca="1" si="12"/>
        <v>8987.1448842653917</v>
      </c>
      <c r="J155" s="6">
        <f t="shared" ca="1" si="10"/>
        <v>9000</v>
      </c>
      <c r="K155" s="4">
        <f t="shared" ca="1" si="11"/>
        <v>0.50819836129386942</v>
      </c>
      <c r="L155" s="55">
        <f t="shared" ca="1" si="13"/>
        <v>1.0014335269034506E-2</v>
      </c>
    </row>
    <row r="156" spans="1:12" x14ac:dyDescent="0.25">
      <c r="A156" s="5"/>
      <c r="C156" s="2">
        <v>155</v>
      </c>
      <c r="D156" s="5">
        <v>880.97635897070154</v>
      </c>
      <c r="E156" s="5"/>
      <c r="F156" s="2">
        <f>D156*Katelaskelma!$D$41</f>
        <v>10517.038586376575</v>
      </c>
      <c r="G156" s="5">
        <f>D156*Lähtötiedot!$C$11+Katelaskelma!$F$31-Katelaskelma!$F$46</f>
        <v>83966.801058555167</v>
      </c>
      <c r="H156" s="77">
        <v>27</v>
      </c>
      <c r="I156" s="6">
        <f t="shared" ca="1" si="12"/>
        <v>8605.0175730102965</v>
      </c>
      <c r="J156" s="6">
        <f t="shared" ca="1" si="10"/>
        <v>8600</v>
      </c>
      <c r="K156" s="4">
        <f t="shared" ca="1" si="11"/>
        <v>0.54640847901484091</v>
      </c>
      <c r="L156" s="55">
        <f t="shared" ca="1" si="13"/>
        <v>9.9731776934417621E-3</v>
      </c>
    </row>
    <row r="157" spans="1:12" x14ac:dyDescent="0.25">
      <c r="A157" s="5"/>
      <c r="C157" s="2">
        <v>156</v>
      </c>
      <c r="D157" s="5">
        <v>1079.8650791822558</v>
      </c>
      <c r="E157" s="5"/>
      <c r="F157" s="2">
        <f>D157*Katelaskelma!$D$41</f>
        <v>12891.35921775408</v>
      </c>
      <c r="G157" s="5">
        <f>D157*Lähtötiedot!$C$11+Katelaskelma!$F$31-Katelaskelma!$F$46</f>
        <v>112208.99932859588</v>
      </c>
      <c r="H157" s="77">
        <v>28</v>
      </c>
      <c r="I157" s="6">
        <f t="shared" ca="1" si="12"/>
        <v>8222.8902617552012</v>
      </c>
      <c r="J157" s="6">
        <f t="shared" ca="1" si="10"/>
        <v>8200</v>
      </c>
      <c r="K157" s="4">
        <f t="shared" ca="1" si="11"/>
        <v>0.58433413563716585</v>
      </c>
      <c r="L157" s="55">
        <f t="shared" ca="1" si="13"/>
        <v>9.865548556768456E-3</v>
      </c>
    </row>
    <row r="158" spans="1:12" x14ac:dyDescent="0.25">
      <c r="A158" s="5"/>
      <c r="C158" s="2">
        <v>157</v>
      </c>
      <c r="D158" s="5">
        <v>387.00430001341221</v>
      </c>
      <c r="E158" s="5"/>
      <c r="F158" s="2">
        <f>D158*Katelaskelma!$D$41</f>
        <v>4620.0322118633294</v>
      </c>
      <c r="G158" s="5">
        <f>D158*Lähtötiedot!$C$11+Katelaskelma!$F$31-Katelaskelma!$F$46</f>
        <v>13822.768686620067</v>
      </c>
      <c r="H158" s="77">
        <v>29</v>
      </c>
      <c r="I158" s="6">
        <f t="shared" ca="1" si="12"/>
        <v>7840.7629505001059</v>
      </c>
      <c r="J158" s="6">
        <f t="shared" ca="1" si="10"/>
        <v>7850</v>
      </c>
      <c r="K158" s="4">
        <f t="shared" ca="1" si="11"/>
        <v>0.62172285656413284</v>
      </c>
      <c r="L158" s="55">
        <f t="shared" ca="1" si="13"/>
        <v>9.6923617344913515E-3</v>
      </c>
    </row>
    <row r="159" spans="1:12" x14ac:dyDescent="0.25">
      <c r="A159" s="5"/>
      <c r="C159" s="2">
        <v>158</v>
      </c>
      <c r="D159" s="5">
        <v>156.01563406915767</v>
      </c>
      <c r="E159" s="5"/>
      <c r="F159" s="2">
        <f>D159*Katelaskelma!$D$41</f>
        <v>1862.5045120398145</v>
      </c>
      <c r="G159" s="5">
        <f>D159*Lähtötiedot!$C$11+Katelaskelma!$F$31-Katelaskelma!$F$46</f>
        <v>-18977.621877464073</v>
      </c>
      <c r="H159" s="77">
        <v>30</v>
      </c>
      <c r="I159" s="6">
        <f t="shared" ca="1" si="12"/>
        <v>7458.6356392450107</v>
      </c>
      <c r="J159" s="6">
        <f t="shared" ca="1" si="10"/>
        <v>7450</v>
      </c>
      <c r="K159" s="4">
        <f t="shared" ca="1" si="11"/>
        <v>0.65832695050495404</v>
      </c>
      <c r="L159" s="55">
        <f t="shared" ca="1" si="13"/>
        <v>9.455207652057946E-3</v>
      </c>
    </row>
    <row r="160" spans="1:12" x14ac:dyDescent="0.25">
      <c r="A160" s="5"/>
      <c r="C160" s="2">
        <v>159</v>
      </c>
      <c r="D160" s="5">
        <v>155.47588066413419</v>
      </c>
      <c r="E160" s="5"/>
      <c r="F160" s="2">
        <f>D160*Katelaskelma!$D$41</f>
        <v>1856.0609709277778</v>
      </c>
      <c r="G160" s="5">
        <f>D160*Lähtötiedot!$C$11+Katelaskelma!$F$31-Katelaskelma!$F$46</f>
        <v>-19054.266860977412</v>
      </c>
      <c r="H160" s="77">
        <v>31</v>
      </c>
      <c r="I160" s="6">
        <f t="shared" ca="1" si="12"/>
        <v>7076.5083279899154</v>
      </c>
      <c r="J160" s="6">
        <f t="shared" ca="1" si="10"/>
        <v>7100</v>
      </c>
      <c r="K160" s="4">
        <f t="shared" ca="1" si="11"/>
        <v>0.69390610386917562</v>
      </c>
      <c r="L160" s="55">
        <f t="shared" ca="1" si="13"/>
        <v>9.1563580806403554E-3</v>
      </c>
    </row>
    <row r="161" spans="1:12" x14ac:dyDescent="0.25">
      <c r="A161" s="5"/>
      <c r="C161" s="2">
        <v>160</v>
      </c>
      <c r="D161" s="5">
        <v>1219.7335569234936</v>
      </c>
      <c r="E161" s="5"/>
      <c r="F161" s="2">
        <f>D161*Katelaskelma!$D$41</f>
        <v>14561.100025715159</v>
      </c>
      <c r="G161" s="5">
        <f>D161*Lähtötiedot!$C$11+Katelaskelma!$F$31-Katelaskelma!$F$46</f>
        <v>132070.32316785163</v>
      </c>
      <c r="H161" s="77">
        <v>32</v>
      </c>
      <c r="I161" s="6">
        <f t="shared" ca="1" si="12"/>
        <v>6694.3810167348202</v>
      </c>
      <c r="J161" s="6">
        <f t="shared" ca="1" si="10"/>
        <v>6700</v>
      </c>
      <c r="K161" s="4">
        <f t="shared" ca="1" si="11"/>
        <v>0.72822999382845821</v>
      </c>
      <c r="L161" s="55">
        <f t="shared" ca="1" si="13"/>
        <v>8.798771121580137E-3</v>
      </c>
    </row>
    <row r="162" spans="1:12" x14ac:dyDescent="0.25">
      <c r="A162" s="5"/>
      <c r="C162" s="2">
        <v>161</v>
      </c>
      <c r="D162" s="5">
        <v>524.25336753953502</v>
      </c>
      <c r="E162" s="5"/>
      <c r="F162" s="2">
        <f>D162*Katelaskelma!$D$41</f>
        <v>6258.5026707107299</v>
      </c>
      <c r="G162" s="5">
        <f>D162*Lähtötiedot!$C$11+Katelaskelma!$F$31-Katelaskelma!$F$46</f>
        <v>33312.136275329511</v>
      </c>
      <c r="H162" s="77">
        <v>33</v>
      </c>
      <c r="I162" s="6">
        <f t="shared" ca="1" si="12"/>
        <v>6312.2537054797249</v>
      </c>
      <c r="J162" s="6">
        <f t="shared" ca="1" si="10"/>
        <v>6300</v>
      </c>
      <c r="K162" s="4">
        <f t="shared" ca="1" si="11"/>
        <v>0.76108092088689283</v>
      </c>
      <c r="L162" s="55">
        <f t="shared" ca="1" si="13"/>
        <v>8.3860964440621456E-3</v>
      </c>
    </row>
    <row r="163" spans="1:12" x14ac:dyDescent="0.25">
      <c r="A163" s="5"/>
      <c r="C163" s="2">
        <v>162</v>
      </c>
      <c r="D163" s="5">
        <v>261.45242658187163</v>
      </c>
      <c r="E163" s="5"/>
      <c r="F163" s="2">
        <f>D163*Katelaskelma!$D$41</f>
        <v>3121.2020968144716</v>
      </c>
      <c r="G163" s="5">
        <f>D163*Lähtötiedot!$C$11+Katelaskelma!$F$31-Katelaskelma!$F$46</f>
        <v>-4005.5973406586854</v>
      </c>
      <c r="H163" s="77">
        <v>34</v>
      </c>
      <c r="I163" s="6">
        <f t="shared" ca="1" si="12"/>
        <v>5930.1263942246296</v>
      </c>
      <c r="J163" s="6">
        <f t="shared" ca="1" si="10"/>
        <v>5950</v>
      </c>
      <c r="K163" s="4">
        <f t="shared" ca="1" si="11"/>
        <v>0.79225646206918721</v>
      </c>
      <c r="L163" s="55">
        <f t="shared" ca="1" si="13"/>
        <v>7.922680852518349E-3</v>
      </c>
    </row>
    <row r="164" spans="1:12" x14ac:dyDescent="0.25">
      <c r="A164" s="5"/>
      <c r="C164" s="2">
        <v>163</v>
      </c>
      <c r="D164" s="5">
        <v>1146.6640367054927</v>
      </c>
      <c r="E164" s="5"/>
      <c r="F164" s="2">
        <f>D164*Katelaskelma!$D$41</f>
        <v>13688.800836530792</v>
      </c>
      <c r="G164" s="5">
        <f>D164*Lähtötiedot!$C$11+Katelaskelma!$F$31-Katelaskelma!$F$46</f>
        <v>121694.45129689551</v>
      </c>
      <c r="H164" s="77">
        <v>35</v>
      </c>
      <c r="I164" s="6">
        <f t="shared" ca="1" si="12"/>
        <v>5547.9990829695344</v>
      </c>
      <c r="J164" s="6">
        <f t="shared" ca="1" si="10"/>
        <v>5550</v>
      </c>
      <c r="K164" s="4">
        <f t="shared" ca="1" si="11"/>
        <v>0.82157214615867569</v>
      </c>
      <c r="L164" s="55">
        <f t="shared" ca="1" si="13"/>
        <v>7.4135742770560205E-3</v>
      </c>
    </row>
    <row r="165" spans="1:12" x14ac:dyDescent="0.25">
      <c r="A165" s="5"/>
      <c r="C165" s="2">
        <v>164</v>
      </c>
      <c r="D165" s="5">
        <v>692.86920502914222</v>
      </c>
      <c r="E165" s="5"/>
      <c r="F165" s="2">
        <f>D165*Katelaskelma!$D$41</f>
        <v>8271.4275932640448</v>
      </c>
      <c r="G165" s="5">
        <f>D165*Lähtötiedot!$C$11+Katelaskelma!$F$31-Katelaskelma!$F$46</f>
        <v>57255.585198853718</v>
      </c>
      <c r="H165" s="77">
        <v>36</v>
      </c>
      <c r="I165" s="6">
        <f t="shared" ca="1" si="12"/>
        <v>5165.8717717144391</v>
      </c>
      <c r="J165" s="6">
        <f t="shared" ca="1" si="10"/>
        <v>5150</v>
      </c>
      <c r="K165" s="4">
        <f t="shared" ca="1" si="11"/>
        <v>0.84886415281605787</v>
      </c>
      <c r="L165" s="55">
        <f t="shared" ca="1" si="13"/>
        <v>6.8645363037542874E-3</v>
      </c>
    </row>
    <row r="166" spans="1:12" x14ac:dyDescent="0.25">
      <c r="A166" s="5"/>
      <c r="C166" s="2">
        <v>165</v>
      </c>
      <c r="D166" s="5">
        <v>387.41078349472156</v>
      </c>
      <c r="E166" s="5"/>
      <c r="F166" s="2">
        <f>D166*Katelaskelma!$D$41</f>
        <v>4624.8847852770468</v>
      </c>
      <c r="G166" s="5">
        <f>D166*Lähtötiedot!$C$11+Katelaskelma!$F$31-Katelaskelma!$F$46</f>
        <v>13880.489340965985</v>
      </c>
      <c r="H166" s="77">
        <v>37</v>
      </c>
      <c r="I166" s="6">
        <f t="shared" ca="1" si="12"/>
        <v>4783.7444604593438</v>
      </c>
      <c r="J166" s="6">
        <f t="shared" ca="1" si="10"/>
        <v>4800</v>
      </c>
      <c r="K166" s="4">
        <f t="shared" ca="1" si="11"/>
        <v>0.87399203791610702</v>
      </c>
      <c r="L166" s="55">
        <f t="shared" ca="1" si="13"/>
        <v>6.2820433949413983E-3</v>
      </c>
    </row>
    <row r="167" spans="1:12" x14ac:dyDescent="0.25">
      <c r="A167" s="5"/>
      <c r="C167" s="2">
        <v>166</v>
      </c>
      <c r="D167" s="5">
        <v>1484.1630590352268</v>
      </c>
      <c r="E167" s="5"/>
      <c r="F167" s="2">
        <f>D167*Katelaskelma!$D$41</f>
        <v>17717.842256953547</v>
      </c>
      <c r="G167" s="5">
        <f>D167*Lähtötiedot!$C$11+Katelaskelma!$F$31-Katelaskelma!$F$46</f>
        <v>169619.31246771774</v>
      </c>
      <c r="H167" s="77">
        <v>38</v>
      </c>
      <c r="I167" s="6">
        <f t="shared" ca="1" si="12"/>
        <v>4401.6171492042486</v>
      </c>
      <c r="J167" s="6">
        <f t="shared" ca="1" si="10"/>
        <v>4400</v>
      </c>
      <c r="K167" s="4">
        <f t="shared" ca="1" si="11"/>
        <v>0.8968414880987885</v>
      </c>
      <c r="L167" s="55">
        <f t="shared" ca="1" si="13"/>
        <v>5.6732969972844213E-3</v>
      </c>
    </row>
    <row r="168" spans="1:12" x14ac:dyDescent="0.25">
      <c r="A168" s="5"/>
      <c r="C168" s="2">
        <v>167</v>
      </c>
      <c r="D168" s="5">
        <v>899.41667843407163</v>
      </c>
      <c r="E168" s="5"/>
      <c r="F168" s="2">
        <f>D168*Katelaskelma!$D$41</f>
        <v>10737.177923109701</v>
      </c>
      <c r="G168" s="5">
        <f>D168*Lähtötiedot!$C$11+Katelaskelma!$F$31-Katelaskelma!$F$46</f>
        <v>86585.326422353712</v>
      </c>
      <c r="H168" s="77">
        <v>39</v>
      </c>
      <c r="I168" s="6">
        <f t="shared" ca="1" si="12"/>
        <v>4019.4898379491533</v>
      </c>
      <c r="J168" s="6">
        <f t="shared" ca="1" si="10"/>
        <v>4000</v>
      </c>
      <c r="K168" s="4">
        <f t="shared" ca="1" si="11"/>
        <v>0.91732710841192611</v>
      </c>
      <c r="L168" s="55">
        <f t="shared" ca="1" si="13"/>
        <v>5.046232805364796E-3</v>
      </c>
    </row>
    <row r="169" spans="1:12" x14ac:dyDescent="0.25">
      <c r="A169" s="5"/>
      <c r="C169" s="2">
        <v>168</v>
      </c>
      <c r="D169" s="5">
        <v>758.83879361032109</v>
      </c>
      <c r="E169" s="5"/>
      <c r="F169" s="2">
        <f>D169*Katelaskelma!$D$41</f>
        <v>9058.9682594474816</v>
      </c>
      <c r="G169" s="5">
        <f>D169*Lähtötiedot!$C$11+Katelaskelma!$F$31-Katelaskelma!$F$46</f>
        <v>66623.266777381126</v>
      </c>
      <c r="H169" s="77">
        <v>40</v>
      </c>
      <c r="I169" s="6">
        <f t="shared" ca="1" si="12"/>
        <v>3637.362526694058</v>
      </c>
      <c r="J169" s="6">
        <f t="shared" ca="1" si="10"/>
        <v>3650</v>
      </c>
      <c r="K169" s="4">
        <f t="shared" ca="1" si="11"/>
        <v>0.93539524813184127</v>
      </c>
      <c r="L169" s="55">
        <f t="shared" ca="1" si="13"/>
        <v>4.4095315533207299E-3</v>
      </c>
    </row>
    <row r="170" spans="1:12" x14ac:dyDescent="0.25">
      <c r="A170" s="5"/>
      <c r="C170" s="2">
        <v>169</v>
      </c>
      <c r="D170" s="5">
        <v>882.47209844371741</v>
      </c>
      <c r="E170" s="5"/>
      <c r="F170" s="2">
        <f>D170*Katelaskelma!$D$41</f>
        <v>10534.894627112168</v>
      </c>
      <c r="G170" s="5">
        <f>D170*Lähtötiedot!$C$11+Katelaskelma!$F$31-Katelaskelma!$F$46</f>
        <v>84179.196063723415</v>
      </c>
      <c r="H170" s="77">
        <v>41</v>
      </c>
      <c r="I170" s="6">
        <f t="shared" ca="1" si="12"/>
        <v>3255.2352154389628</v>
      </c>
      <c r="J170" s="6">
        <f t="shared" ca="1" si="10"/>
        <v>3250</v>
      </c>
      <c r="K170" s="4">
        <f t="shared" ca="1" si="11"/>
        <v>0.95102687155928634</v>
      </c>
      <c r="L170" s="55">
        <f ca="1">IF(AND($L$4&lt;I170,I170&lt;$L$5),(I170-$L$4)^($L$8-1)*($L$5-I170)^($L$9-1)/$L$10/(($L$5-$L$4)^($L$8+$L$9-1)),0)*100</f>
        <v>3.7726318697217194E-3</v>
      </c>
    </row>
    <row r="171" spans="1:12" x14ac:dyDescent="0.25">
      <c r="A171" s="5"/>
      <c r="C171" s="2">
        <v>170</v>
      </c>
      <c r="D171" s="5">
        <v>818.79478079096475</v>
      </c>
      <c r="E171" s="5"/>
      <c r="F171" s="2">
        <f>D171*Katelaskelma!$D$41</f>
        <v>9774.7189424735843</v>
      </c>
      <c r="G171" s="5">
        <f>D171*Lähtötiedot!$C$11+Katelaskelma!$F$31-Katelaskelma!$F$46</f>
        <v>75137.016957032523</v>
      </c>
      <c r="H171" s="77">
        <v>42</v>
      </c>
      <c r="I171" s="6">
        <f t="shared" ca="1" si="12"/>
        <v>2873.1079041838675</v>
      </c>
      <c r="J171" s="6">
        <f t="shared" ca="1" si="10"/>
        <v>2850</v>
      </c>
      <c r="K171" s="4">
        <f t="shared" ca="1" si="11"/>
        <v>0.9642404830918393</v>
      </c>
      <c r="L171" s="55">
        <f t="shared" ca="1" si="13"/>
        <v>3.1457459925359685E-3</v>
      </c>
    </row>
    <row r="172" spans="1:12" x14ac:dyDescent="0.25">
      <c r="A172" s="5"/>
      <c r="C172" s="2">
        <v>171</v>
      </c>
      <c r="D172" s="5">
        <v>610.18833574735959</v>
      </c>
      <c r="E172" s="5"/>
      <c r="F172" s="2">
        <f>D172*Katelaskelma!$D$41</f>
        <v>7284.3887428599055</v>
      </c>
      <c r="G172" s="5">
        <f>D172*Lähtötiedot!$C$11+Katelaskelma!$F$31-Katelaskelma!$F$46</f>
        <v>45514.901760840585</v>
      </c>
      <c r="H172" s="77">
        <v>43</v>
      </c>
      <c r="I172" s="6">
        <f t="shared" ca="1" si="12"/>
        <v>2490.9805929287722</v>
      </c>
      <c r="J172" s="6">
        <f t="shared" ca="1" si="10"/>
        <v>2500</v>
      </c>
      <c r="K172" s="4">
        <f t="shared" ca="1" si="11"/>
        <v>0.97509511968512108</v>
      </c>
      <c r="L172" s="55">
        <f t="shared" ca="1" si="13"/>
        <v>2.5398795819913987E-3</v>
      </c>
    </row>
    <row r="173" spans="1:12" x14ac:dyDescent="0.25">
      <c r="A173" s="5"/>
      <c r="C173" s="2">
        <v>172</v>
      </c>
      <c r="D173" s="5">
        <v>815.04214954224585</v>
      </c>
      <c r="E173" s="5"/>
      <c r="F173" s="2">
        <f>D173*Katelaskelma!$D$41</f>
        <v>9729.9202742217713</v>
      </c>
      <c r="G173" s="5">
        <f>D173*Lähtötiedot!$C$11+Katelaskelma!$F$31-Katelaskelma!$F$46</f>
        <v>74604.143319714436</v>
      </c>
      <c r="H173" s="77">
        <v>44</v>
      </c>
      <c r="I173" s="6">
        <f t="shared" ca="1" si="12"/>
        <v>2108.853281673677</v>
      </c>
      <c r="J173" s="6">
        <f t="shared" ca="1" si="10"/>
        <v>2100</v>
      </c>
      <c r="K173" s="4">
        <f t="shared" ca="1" si="11"/>
        <v>0.98369342989540554</v>
      </c>
      <c r="L173" s="55">
        <f t="shared" ca="1" si="13"/>
        <v>1.9668576549391813E-3</v>
      </c>
    </row>
    <row r="174" spans="1:12" x14ac:dyDescent="0.25">
      <c r="A174" s="5"/>
      <c r="C174" s="2">
        <v>173</v>
      </c>
      <c r="D174" s="5">
        <v>664.1089769153898</v>
      </c>
      <c r="E174" s="5"/>
      <c r="F174" s="2">
        <f>D174*Katelaskelma!$D$41</f>
        <v>7928.0898569611963</v>
      </c>
      <c r="G174" s="5">
        <f>D174*Lähtötiedot!$C$11+Katelaskelma!$F$31-Katelaskelma!$F$46</f>
        <v>53171.632806700887</v>
      </c>
      <c r="H174" s="77">
        <v>45</v>
      </c>
      <c r="I174" s="6">
        <f t="shared" ca="1" si="12"/>
        <v>1726.7259704185819</v>
      </c>
      <c r="J174" s="6">
        <f t="shared" ca="1" si="10"/>
        <v>1750</v>
      </c>
      <c r="K174" s="4">
        <f t="shared" ca="1" si="11"/>
        <v>0.99018486897361702</v>
      </c>
      <c r="L174" s="55">
        <f t="shared" ca="1" si="13"/>
        <v>1.4393601665371538E-3</v>
      </c>
    </row>
    <row r="175" spans="1:12" x14ac:dyDescent="0.25">
      <c r="A175" s="5"/>
      <c r="C175" s="2">
        <v>174</v>
      </c>
      <c r="D175" s="5">
        <v>868.58450900832645</v>
      </c>
      <c r="E175" s="5"/>
      <c r="F175" s="2">
        <f>D175*Katelaskelma!$D$41</f>
        <v>10369.105485920672</v>
      </c>
      <c r="G175" s="5">
        <f>D175*Lähtötiedot!$C$11+Katelaskelma!$F$31-Katelaskelma!$F$46</f>
        <v>82207.158363897877</v>
      </c>
      <c r="H175" s="77">
        <v>46</v>
      </c>
      <c r="I175" s="6">
        <f t="shared" ca="1" si="12"/>
        <v>1344.5986591634869</v>
      </c>
      <c r="J175" s="6">
        <f t="shared" ca="1" si="10"/>
        <v>1350</v>
      </c>
      <c r="K175" s="4">
        <f t="shared" ca="1" si="11"/>
        <v>0.99476905817991979</v>
      </c>
      <c r="L175" s="55">
        <f t="shared" ca="1" si="13"/>
        <v>9.7097390893300707E-4</v>
      </c>
    </row>
    <row r="176" spans="1:12" x14ac:dyDescent="0.25">
      <c r="A176" s="5"/>
      <c r="C176" s="2">
        <v>175</v>
      </c>
      <c r="D176" s="5">
        <v>1102.6606986842069</v>
      </c>
      <c r="E176" s="5"/>
      <c r="F176" s="2">
        <f>D176*Katelaskelma!$D$41</f>
        <v>13163.491843631216</v>
      </c>
      <c r="G176" s="5">
        <f>D176*Lähtötiedot!$C$11+Katelaskelma!$F$31-Katelaskelma!$F$46</f>
        <v>115445.97729787292</v>
      </c>
      <c r="H176" s="77">
        <v>47</v>
      </c>
      <c r="I176" s="6">
        <f t="shared" ca="1" si="12"/>
        <v>962.47134790839186</v>
      </c>
      <c r="J176" s="6">
        <f t="shared" ca="1" si="10"/>
        <v>950</v>
      </c>
      <c r="K176" s="4">
        <f t="shared" ca="1" si="11"/>
        <v>0.99769939401226393</v>
      </c>
      <c r="L176" s="55">
        <f t="shared" ca="1" si="13"/>
        <v>5.7627483096404333E-4</v>
      </c>
    </row>
    <row r="177" spans="1:12" x14ac:dyDescent="0.25">
      <c r="A177" s="5"/>
      <c r="C177" s="2">
        <v>176</v>
      </c>
      <c r="D177" s="5">
        <v>851.65643011703355</v>
      </c>
      <c r="E177" s="5"/>
      <c r="F177" s="2">
        <f>D177*Katelaskelma!$D$41</f>
        <v>10167.019178972594</v>
      </c>
      <c r="G177" s="5">
        <f>D177*Lähtötiedot!$C$11+Katelaskelma!$F$31-Katelaskelma!$F$46</f>
        <v>79803.371161334304</v>
      </c>
      <c r="H177" s="77">
        <v>48</v>
      </c>
      <c r="I177" s="6">
        <f t="shared" ca="1" si="12"/>
        <v>580.34403665329683</v>
      </c>
      <c r="J177" s="6">
        <f t="shared" ca="1" si="10"/>
        <v>600</v>
      </c>
      <c r="K177" s="4">
        <f t="shared" ca="1" si="11"/>
        <v>0.99928707957367169</v>
      </c>
      <c r="L177" s="55">
        <f t="shared" ca="1" si="13"/>
        <v>2.7097586062651543E-4</v>
      </c>
    </row>
    <row r="178" spans="1:12" x14ac:dyDescent="0.25">
      <c r="A178" s="5"/>
      <c r="C178" s="2">
        <v>177</v>
      </c>
      <c r="D178" s="5">
        <v>964.49533725826836</v>
      </c>
      <c r="E178" s="5"/>
      <c r="F178" s="2">
        <f>D178*Katelaskelma!$D$41</f>
        <v>11514.082727687408</v>
      </c>
      <c r="G178" s="5">
        <f>D178*Lähtötiedot!$C$11+Katelaskelma!$F$31-Katelaskelma!$F$46</f>
        <v>95826.49597538964</v>
      </c>
      <c r="H178" s="77">
        <v>49</v>
      </c>
      <c r="I178" s="6">
        <f ca="1">I177-(($I$130-$I$179)/($H$179-1))</f>
        <v>198.21672539820179</v>
      </c>
      <c r="J178" s="6">
        <f t="shared" ca="1" si="10"/>
        <v>200</v>
      </c>
      <c r="K178" s="4">
        <f t="shared" ca="1" si="11"/>
        <v>0.99990599902484256</v>
      </c>
      <c r="L178" s="55">
        <f t="shared" ca="1" si="13"/>
        <v>7.2254487687685391E-5</v>
      </c>
    </row>
    <row r="179" spans="1:12" x14ac:dyDescent="0.25">
      <c r="A179" s="5"/>
      <c r="C179" s="2">
        <v>178</v>
      </c>
      <c r="D179" s="5">
        <v>1184.9351415979629</v>
      </c>
      <c r="E179" s="5"/>
      <c r="F179" s="2">
        <f>D179*Katelaskelma!$D$41</f>
        <v>14145.678802436301</v>
      </c>
      <c r="G179" s="5">
        <f>D179*Lähtötiedot!$C$11+Katelaskelma!$F$31-Katelaskelma!$F$46</f>
        <v>127128.94819162629</v>
      </c>
      <c r="H179" s="77">
        <v>50</v>
      </c>
      <c r="I179" s="6">
        <f ca="1">L4</f>
        <v>-183.91058585688532</v>
      </c>
      <c r="J179" s="6" t="e">
        <f t="shared" ca="1" si="10"/>
        <v>#NUM!</v>
      </c>
      <c r="K179" s="4">
        <f t="shared" ca="1" si="11"/>
        <v>1</v>
      </c>
      <c r="L179" s="55">
        <f t="shared" ca="1" si="13"/>
        <v>0</v>
      </c>
    </row>
    <row r="180" spans="1:12" x14ac:dyDescent="0.25">
      <c r="A180" s="5"/>
      <c r="C180" s="2">
        <v>179</v>
      </c>
      <c r="D180" s="5">
        <v>677.22303380834978</v>
      </c>
      <c r="E180" s="5"/>
      <c r="F180" s="2">
        <f>D180*Katelaskelma!$D$41</f>
        <v>8084.6446168736402</v>
      </c>
      <c r="G180" s="5">
        <f>D180*Lähtötiedot!$C$11+Katelaskelma!$F$31-Katelaskelma!$F$46</f>
        <v>55033.828885501192</v>
      </c>
      <c r="H180" s="1"/>
    </row>
    <row r="181" spans="1:12" x14ac:dyDescent="0.25">
      <c r="A181" s="5"/>
      <c r="C181" s="2">
        <v>180</v>
      </c>
      <c r="D181" s="5">
        <v>658.84639807702365</v>
      </c>
      <c r="E181" s="5"/>
      <c r="F181" s="2">
        <f>D181*Katelaskelma!$D$41</f>
        <v>7865.2655323997396</v>
      </c>
      <c r="G181" s="5">
        <f>D181*Lähtötiedot!$C$11+Katelaskelma!$F$31-Katelaskelma!$F$46</f>
        <v>52424.346611652902</v>
      </c>
      <c r="H181" s="1"/>
    </row>
    <row r="182" spans="1:12" x14ac:dyDescent="0.25">
      <c r="A182" s="5"/>
      <c r="C182" s="2">
        <v>181</v>
      </c>
      <c r="D182" s="5">
        <v>302.53666800843104</v>
      </c>
      <c r="E182" s="5"/>
      <c r="F182" s="2">
        <f>D182*Katelaskelma!$D$41</f>
        <v>3611.6631040541743</v>
      </c>
      <c r="G182" s="5">
        <f>D182*Lähtötiedot!$C$11+Katelaskelma!$F$31-Katelaskelma!$F$46</f>
        <v>1828.3649419127323</v>
      </c>
      <c r="H182" s="1"/>
    </row>
    <row r="183" spans="1:12" x14ac:dyDescent="0.25">
      <c r="A183" s="5"/>
      <c r="C183" s="2">
        <v>182</v>
      </c>
      <c r="D183" s="5">
        <v>438.26486444701351</v>
      </c>
      <c r="E183" s="5"/>
      <c r="F183" s="2">
        <f>D183*Katelaskelma!$D$41</f>
        <v>5231.9775025831641</v>
      </c>
      <c r="G183" s="5">
        <f>D183*Lähtötiedot!$C$11+Katelaskelma!$F$31-Katelaskelma!$F$46</f>
        <v>21101.768836191448</v>
      </c>
      <c r="H183" s="1"/>
    </row>
    <row r="184" spans="1:12" x14ac:dyDescent="0.25">
      <c r="A184" s="5"/>
      <c r="C184" s="2">
        <v>183</v>
      </c>
      <c r="D184" s="5">
        <v>722.26097217184611</v>
      </c>
      <c r="E184" s="5"/>
      <c r="F184" s="2">
        <f>D184*Katelaskelma!$D$41</f>
        <v>8622.3046014992815</v>
      </c>
      <c r="G184" s="5">
        <f>D184*Lähtötiedot!$C$11+Katelaskelma!$F$31-Katelaskelma!$F$46</f>
        <v>61429.216133117676</v>
      </c>
      <c r="H184" s="1"/>
    </row>
    <row r="185" spans="1:12" x14ac:dyDescent="0.25">
      <c r="A185" s="5"/>
      <c r="C185" s="2">
        <v>184</v>
      </c>
      <c r="D185" s="5">
        <v>857.04383863729049</v>
      </c>
      <c r="E185" s="5"/>
      <c r="F185" s="2">
        <f>D185*Katelaskelma!$D$41</f>
        <v>10231.333712173366</v>
      </c>
      <c r="G185" s="5">
        <f>D185*Lähtötiedot!$C$11+Katelaskelma!$F$31-Katelaskelma!$F$46</f>
        <v>80568.383171210793</v>
      </c>
      <c r="H185" s="1"/>
      <c r="K185" s="1" t="s">
        <v>229</v>
      </c>
    </row>
    <row r="186" spans="1:12" x14ac:dyDescent="0.25">
      <c r="A186" s="5"/>
      <c r="C186" s="2">
        <v>185</v>
      </c>
      <c r="D186" s="5">
        <v>306.60389938376267</v>
      </c>
      <c r="E186" s="5"/>
      <c r="F186" s="2">
        <f>D186*Katelaskelma!$D$41</f>
        <v>3660.2174481957823</v>
      </c>
      <c r="G186" s="5">
        <f>D186*Lähtötiedot!$C$11+Katelaskelma!$F$31-Katelaskelma!$F$46</f>
        <v>2405.911797209832</v>
      </c>
      <c r="H186" s="77">
        <v>1</v>
      </c>
      <c r="I186" s="6">
        <f ca="1">M5</f>
        <v>179402.65667129314</v>
      </c>
      <c r="J186" s="6">
        <f ca="1">I186/1000</f>
        <v>179.40265667129313</v>
      </c>
      <c r="K186" s="4">
        <f ca="1">1-_xlfn.BETA.DIST($I186,$M$8,$M$9,TRUE,$M$4,$M$5)</f>
        <v>0</v>
      </c>
      <c r="L186" s="55">
        <f ca="1">IF(AND($M$4&lt;I186,I186&lt;$M$5),(I186-$M$4)^($M$8-1)*($M$5-I186)^($M$9-1)/$M$10/(($M$5-$M$4)^($M$8+$M$9-1)),0)*100</f>
        <v>0</v>
      </c>
    </row>
    <row r="187" spans="1:12" x14ac:dyDescent="0.25">
      <c r="A187" s="5"/>
      <c r="C187" s="2">
        <v>186</v>
      </c>
      <c r="D187" s="5">
        <v>1006.2033074567605</v>
      </c>
      <c r="E187" s="5"/>
      <c r="F187" s="2">
        <f>D187*Katelaskelma!$D$41</f>
        <v>12011.989768518199</v>
      </c>
      <c r="G187" s="5">
        <f>D187*Lähtötiedot!$C$11+Katelaskelma!$F$31-Katelaskelma!$F$46</f>
        <v>101749.02774357554</v>
      </c>
      <c r="H187" s="77">
        <v>2</v>
      </c>
      <c r="I187" s="6">
        <f ca="1">I186-(($I$186-$I$235)/($H$235-1))</f>
        <v>174857.30793185069</v>
      </c>
      <c r="J187" s="6">
        <f t="shared" ref="J187:J235" ca="1" si="14">I187/1000</f>
        <v>174.8573079318507</v>
      </c>
      <c r="K187" s="4">
        <f t="shared" ref="K187:K235" ca="1" si="15">1-_xlfn.BETA.DIST($I187,$M$8,$M$9,TRUE,$M$4,$M$5)</f>
        <v>7.2214270519621593E-5</v>
      </c>
      <c r="L187" s="55">
        <f t="shared" ref="L187:L235" ca="1" si="16">IF(AND($M$4&lt;I187,I187&lt;$M$5),(I187-$M$4)^($M$8-1)*($M$5-I187)^($M$9-1)/$M$10/(($M$5-$M$4)^($M$8+$M$9-1)),0)*100</f>
        <v>4.7672786230041819E-6</v>
      </c>
    </row>
    <row r="188" spans="1:12" x14ac:dyDescent="0.25">
      <c r="A188" s="5"/>
      <c r="C188" s="2">
        <v>187</v>
      </c>
      <c r="D188" s="5">
        <v>1285.9972311385288</v>
      </c>
      <c r="E188" s="5"/>
      <c r="F188" s="2">
        <f>D188*Katelaskelma!$D$41</f>
        <v>15352.151467105528</v>
      </c>
      <c r="G188" s="5">
        <f>D188*Lähtötiedot!$C$11+Katelaskelma!$F$31-Katelaskelma!$F$46</f>
        <v>141479.76490638664</v>
      </c>
      <c r="H188" s="77">
        <v>3</v>
      </c>
      <c r="I188" s="6">
        <f t="shared" ref="I188:I234" ca="1" si="17">I187-(($I$186-$I$235)/($H$235-1))</f>
        <v>170311.95919240825</v>
      </c>
      <c r="J188" s="6">
        <f t="shared" ca="1" si="14"/>
        <v>170.31195919240824</v>
      </c>
      <c r="K188" s="4">
        <f t="shared" ca="1" si="15"/>
        <v>5.7243340997970016E-4</v>
      </c>
      <c r="L188" s="55">
        <f t="shared" ca="1" si="16"/>
        <v>1.8696108580557958E-5</v>
      </c>
    </row>
    <row r="189" spans="1:12" x14ac:dyDescent="0.25">
      <c r="A189" s="5"/>
      <c r="C189" s="2">
        <v>188</v>
      </c>
      <c r="D189" s="5">
        <v>614.92004274233454</v>
      </c>
      <c r="E189" s="5"/>
      <c r="F189" s="2">
        <f>D189*Katelaskelma!$D$41</f>
        <v>7340.875553815561</v>
      </c>
      <c r="G189" s="5">
        <f>D189*Lähtötiedot!$C$11+Katelaskelma!$F$31-Katelaskelma!$F$46</f>
        <v>46186.80415412705</v>
      </c>
      <c r="H189" s="77">
        <v>4</v>
      </c>
      <c r="I189" s="6">
        <f t="shared" ca="1" si="17"/>
        <v>165766.6104529658</v>
      </c>
      <c r="J189" s="6">
        <f t="shared" ca="1" si="14"/>
        <v>165.76661045296581</v>
      </c>
      <c r="K189" s="4">
        <f t="shared" ca="1" si="15"/>
        <v>1.8962761154512897E-3</v>
      </c>
      <c r="L189" s="55">
        <f t="shared" ca="1" si="16"/>
        <v>4.0837307952771087E-5</v>
      </c>
    </row>
    <row r="190" spans="1:12" x14ac:dyDescent="0.25">
      <c r="A190" s="5"/>
      <c r="C190" s="2">
        <v>189</v>
      </c>
      <c r="D190" s="5">
        <v>509.09792817798535</v>
      </c>
      <c r="E190" s="5"/>
      <c r="F190" s="2">
        <f>D190*Katelaskelma!$D$41</f>
        <v>6077.5780194009785</v>
      </c>
      <c r="G190" s="5">
        <f>D190*Lähtötiedot!$C$11+Katelaskelma!$F$31-Katelaskelma!$F$46</f>
        <v>31160.063885989453</v>
      </c>
      <c r="H190" s="77">
        <v>5</v>
      </c>
      <c r="I190" s="6">
        <f t="shared" ca="1" si="17"/>
        <v>161221.26171352336</v>
      </c>
      <c r="J190" s="6">
        <f t="shared" ca="1" si="14"/>
        <v>161.22126171352335</v>
      </c>
      <c r="K190" s="4">
        <f t="shared" ca="1" si="15"/>
        <v>4.3935470704556945E-3</v>
      </c>
      <c r="L190" s="55">
        <f t="shared" ca="1" si="16"/>
        <v>7.0154070007120197E-5</v>
      </c>
    </row>
    <row r="191" spans="1:12" x14ac:dyDescent="0.25">
      <c r="A191" s="5"/>
      <c r="C191" s="2">
        <v>190</v>
      </c>
      <c r="D191" s="5">
        <v>713.74738395479221</v>
      </c>
      <c r="E191" s="5"/>
      <c r="F191" s="2">
        <f>D191*Katelaskelma!$D$41</f>
        <v>8520.6699380085502</v>
      </c>
      <c r="G191" s="5">
        <f>D191*Lähtötiedot!$C$11+Katelaskelma!$F$31-Katelaskelma!$F$46</f>
        <v>60220.286606296024</v>
      </c>
      <c r="H191" s="77">
        <v>6</v>
      </c>
      <c r="I191" s="6">
        <f t="shared" ca="1" si="17"/>
        <v>156675.91297408091</v>
      </c>
      <c r="J191" s="6">
        <f t="shared" ca="1" si="14"/>
        <v>156.67591297408092</v>
      </c>
      <c r="K191" s="4">
        <f t="shared" ca="1" si="15"/>
        <v>8.3667256949435664E-3</v>
      </c>
      <c r="L191" s="55">
        <f t="shared" ca="1" si="16"/>
        <v>1.0560674453535087E-4</v>
      </c>
    </row>
    <row r="192" spans="1:12" x14ac:dyDescent="0.25">
      <c r="A192" s="5"/>
      <c r="C192" s="2">
        <v>191</v>
      </c>
      <c r="D192" s="5">
        <v>1073.9325252087858</v>
      </c>
      <c r="E192" s="5"/>
      <c r="F192" s="2">
        <f>D192*Katelaskelma!$D$41</f>
        <v>12820.536773519998</v>
      </c>
      <c r="G192" s="5">
        <f>D192*Lähtötiedot!$C$11+Katelaskelma!$F$31-Katelaskelma!$F$46</f>
        <v>111366.57666436312</v>
      </c>
      <c r="H192" s="77">
        <v>7</v>
      </c>
      <c r="I192" s="6">
        <f t="shared" ca="1" si="17"/>
        <v>152130.56423463847</v>
      </c>
      <c r="J192" s="6">
        <f t="shared" ca="1" si="14"/>
        <v>152.13056423463848</v>
      </c>
      <c r="K192" s="4">
        <f t="shared" ca="1" si="15"/>
        <v>1.4071444105441699E-2</v>
      </c>
      <c r="L192" s="55">
        <f t="shared" ca="1" si="16"/>
        <v>1.4617607789776753E-4</v>
      </c>
    </row>
    <row r="193" spans="1:12" x14ac:dyDescent="0.25">
      <c r="A193" s="5"/>
      <c r="C193" s="2">
        <v>192</v>
      </c>
      <c r="D193" s="5">
        <v>206.42885109545279</v>
      </c>
      <c r="E193" s="5"/>
      <c r="F193" s="2">
        <f>D193*Katelaskelma!$D$41</f>
        <v>2464.33422441528</v>
      </c>
      <c r="G193" s="5">
        <f>D193*Lähtötiedot!$C$11+Katelaskelma!$F$31-Katelaskelma!$F$46</f>
        <v>-11818.945059730177</v>
      </c>
      <c r="H193" s="77">
        <v>8</v>
      </c>
      <c r="I193" s="6">
        <f t="shared" ca="1" si="17"/>
        <v>147585.21549519603</v>
      </c>
      <c r="J193" s="6">
        <f t="shared" ca="1" si="14"/>
        <v>147.58521549519602</v>
      </c>
      <c r="K193" s="4">
        <f t="shared" ca="1" si="15"/>
        <v>2.1717683626814144E-2</v>
      </c>
      <c r="L193" s="55">
        <f t="shared" ca="1" si="16"/>
        <v>1.9087392597884017E-4</v>
      </c>
    </row>
    <row r="194" spans="1:12" x14ac:dyDescent="0.25">
      <c r="A194" s="5"/>
      <c r="C194" s="2">
        <v>193</v>
      </c>
      <c r="D194" s="5">
        <v>1094.6038552723319</v>
      </c>
      <c r="E194" s="5"/>
      <c r="F194" s="2">
        <f>D194*Katelaskelma!$D$41</f>
        <v>13067.309769975935</v>
      </c>
      <c r="G194" s="5">
        <f>D194*Lähtötiedot!$C$11+Katelaskelma!$F$31-Katelaskelma!$F$46</f>
        <v>114301.90553338666</v>
      </c>
      <c r="H194" s="77">
        <v>9</v>
      </c>
      <c r="I194" s="6">
        <f t="shared" ca="1" si="17"/>
        <v>143039.86675575358</v>
      </c>
      <c r="J194" s="6">
        <f t="shared" ca="1" si="14"/>
        <v>143.03986675575359</v>
      </c>
      <c r="K194" s="4">
        <f t="shared" ca="1" si="15"/>
        <v>3.1471337927762355E-2</v>
      </c>
      <c r="L194" s="55">
        <f t="shared" ca="1" si="16"/>
        <v>2.3874931507411075E-4</v>
      </c>
    </row>
    <row r="195" spans="1:12" x14ac:dyDescent="0.25">
      <c r="A195" s="5"/>
      <c r="C195" s="2">
        <v>194</v>
      </c>
      <c r="D195" s="5">
        <v>765.3293055927586</v>
      </c>
      <c r="E195" s="5"/>
      <c r="F195" s="2">
        <f>D195*Katelaskelma!$D$41</f>
        <v>9136.4515701737637</v>
      </c>
      <c r="G195" s="5">
        <f>D195*Lähtötiedot!$C$11+Katelaskelma!$F$31-Katelaskelma!$F$46</f>
        <v>67544.919478887256</v>
      </c>
      <c r="H195" s="77">
        <v>10</v>
      </c>
      <c r="I195" s="6">
        <f t="shared" ca="1" si="17"/>
        <v>138494.51801631114</v>
      </c>
      <c r="J195" s="6">
        <f t="shared" ca="1" si="14"/>
        <v>138.49451801631113</v>
      </c>
      <c r="K195" s="4">
        <f t="shared" ca="1" si="15"/>
        <v>4.3455996373176431E-2</v>
      </c>
      <c r="L195" s="55">
        <f t="shared" ca="1" si="16"/>
        <v>2.8889231256967892E-4</v>
      </c>
    </row>
    <row r="196" spans="1:12" x14ac:dyDescent="0.25">
      <c r="A196" s="5"/>
      <c r="C196" s="2">
        <v>195</v>
      </c>
      <c r="D196" s="5">
        <v>618.2337370247285</v>
      </c>
      <c r="E196" s="5"/>
      <c r="F196" s="2">
        <f>D196*Katelaskelma!$D$41</f>
        <v>7380.4342210562008</v>
      </c>
      <c r="G196" s="5">
        <f>D196*Lähtötiedot!$C$11+Katelaskelma!$F$31-Katelaskelma!$F$46</f>
        <v>46657.348742226983</v>
      </c>
      <c r="H196" s="77">
        <v>11</v>
      </c>
      <c r="I196" s="6">
        <f t="shared" ca="1" si="17"/>
        <v>133949.16927686869</v>
      </c>
      <c r="J196" s="6">
        <f t="shared" ca="1" si="14"/>
        <v>133.9491692768687</v>
      </c>
      <c r="K196" s="4">
        <f t="shared" ca="1" si="15"/>
        <v>5.7754873837212672E-2</v>
      </c>
      <c r="L196" s="55">
        <f t="shared" ca="1" si="16"/>
        <v>3.4043671013526196E-4</v>
      </c>
    </row>
    <row r="197" spans="1:12" x14ac:dyDescent="0.25">
      <c r="A197" s="5"/>
      <c r="C197" s="2">
        <v>196</v>
      </c>
      <c r="D197" s="5">
        <v>868.63783658109583</v>
      </c>
      <c r="E197" s="5"/>
      <c r="F197" s="2">
        <f>D197*Katelaskelma!$D$41</f>
        <v>10369.742107022728</v>
      </c>
      <c r="G197" s="5">
        <f>D197*Lähtötiedot!$C$11+Katelaskelma!$F$31-Katelaskelma!$F$46</f>
        <v>82214.730879231152</v>
      </c>
      <c r="H197" s="77">
        <v>12</v>
      </c>
      <c r="I197" s="6">
        <f t="shared" ca="1" si="17"/>
        <v>129403.82053742623</v>
      </c>
      <c r="J197" s="6">
        <f t="shared" ca="1" si="14"/>
        <v>129.40382053742624</v>
      </c>
      <c r="K197" s="4">
        <f t="shared" ca="1" si="15"/>
        <v>7.4412845104315672E-2</v>
      </c>
      <c r="L197" s="55">
        <f t="shared" ca="1" si="16"/>
        <v>3.9256199857783504E-4</v>
      </c>
    </row>
    <row r="198" spans="1:12" x14ac:dyDescent="0.25">
      <c r="A198" s="5"/>
      <c r="C198" s="2">
        <v>197</v>
      </c>
      <c r="D198" s="5">
        <v>848.43518156230743</v>
      </c>
      <c r="E198" s="5"/>
      <c r="F198" s="2">
        <f>D198*Katelaskelma!$D$41</f>
        <v>10128.564122827902</v>
      </c>
      <c r="G198" s="5">
        <f>D198*Lähtötiedot!$C$11+Katelaskelma!$F$31-Katelaskelma!$F$46</f>
        <v>79345.953866563184</v>
      </c>
      <c r="H198" s="77">
        <v>13</v>
      </c>
      <c r="I198" s="6">
        <f t="shared" ca="1" si="17"/>
        <v>124858.47179798377</v>
      </c>
      <c r="J198" s="6">
        <f t="shared" ca="1" si="14"/>
        <v>124.85847179798377</v>
      </c>
      <c r="K198" s="4">
        <f t="shared" ca="1" si="15"/>
        <v>9.3438558028948404E-2</v>
      </c>
      <c r="L198" s="55">
        <f t="shared" ca="1" si="16"/>
        <v>4.4449488988288806E-4</v>
      </c>
    </row>
    <row r="199" spans="1:12" x14ac:dyDescent="0.25">
      <c r="A199" s="5"/>
      <c r="C199" s="2">
        <v>198</v>
      </c>
      <c r="D199" s="5">
        <v>643.6401566530219</v>
      </c>
      <c r="E199" s="5"/>
      <c r="F199" s="2">
        <f>D199*Katelaskelma!$D$41</f>
        <v>7683.7344093661613</v>
      </c>
      <c r="G199" s="5">
        <f>D199*Lähtötiedot!$C$11+Katelaskelma!$F$31-Katelaskelma!$F$46</f>
        <v>50265.060329444648</v>
      </c>
      <c r="H199" s="77">
        <v>14</v>
      </c>
      <c r="I199" s="6">
        <f t="shared" ca="1" si="17"/>
        <v>120313.12305854131</v>
      </c>
      <c r="J199" s="6">
        <f t="shared" ca="1" si="14"/>
        <v>120.31312305854131</v>
      </c>
      <c r="K199" s="4">
        <f t="shared" ca="1" si="15"/>
        <v>0.11480660851607039</v>
      </c>
      <c r="L199" s="55">
        <f t="shared" ca="1" si="16"/>
        <v>4.9551053422669533E-4</v>
      </c>
    </row>
    <row r="200" spans="1:12" x14ac:dyDescent="0.25">
      <c r="A200" s="5"/>
      <c r="C200" s="2">
        <v>199</v>
      </c>
      <c r="D200" s="5">
        <v>1006.6620778730132</v>
      </c>
      <c r="E200" s="5"/>
      <c r="F200" s="2">
        <f>D200*Katelaskelma!$D$41</f>
        <v>12017.466539967156</v>
      </c>
      <c r="G200" s="5">
        <f>D200*Lähtötiedot!$C$11+Katelaskelma!$F$31-Katelaskelma!$F$46</f>
        <v>101814.17314268343</v>
      </c>
      <c r="H200" s="77">
        <v>15</v>
      </c>
      <c r="I200" s="6">
        <f t="shared" ca="1" si="17"/>
        <v>115767.77431909885</v>
      </c>
      <c r="J200" s="6">
        <f t="shared" ca="1" si="14"/>
        <v>115.76777431909885</v>
      </c>
      <c r="K200" s="4">
        <f t="shared" ca="1" si="15"/>
        <v>0.13845976568306495</v>
      </c>
      <c r="L200" s="55">
        <f t="shared" ca="1" si="16"/>
        <v>5.4493352297673282E-4</v>
      </c>
    </row>
    <row r="201" spans="1:12" x14ac:dyDescent="0.25">
      <c r="A201" s="5"/>
      <c r="C201" s="2">
        <v>200</v>
      </c>
      <c r="D201" s="5">
        <v>284.34462905808533</v>
      </c>
      <c r="E201" s="5"/>
      <c r="F201" s="2">
        <f>D201*Katelaskelma!$D$41</f>
        <v>3394.4877239688453</v>
      </c>
      <c r="G201" s="5">
        <f>D201*Lähtötiedot!$C$11+Katelaskelma!$F$31-Katelaskelma!$F$46</f>
        <v>-754.90458903634863</v>
      </c>
      <c r="H201" s="77">
        <v>16</v>
      </c>
      <c r="I201" s="6">
        <f t="shared" ca="1" si="17"/>
        <v>111222.4255796564</v>
      </c>
      <c r="J201" s="6">
        <f t="shared" ca="1" si="14"/>
        <v>111.2224255796564</v>
      </c>
      <c r="K201" s="4">
        <f t="shared" ca="1" si="15"/>
        <v>0.16431123890711008</v>
      </c>
      <c r="L201" s="55">
        <f t="shared" ca="1" si="16"/>
        <v>5.9213873664348653E-4</v>
      </c>
    </row>
    <row r="202" spans="1:12" x14ac:dyDescent="0.25">
      <c r="A202" s="5"/>
      <c r="C202" s="2">
        <v>201</v>
      </c>
      <c r="D202" s="5">
        <v>933.36985050854969</v>
      </c>
      <c r="E202" s="5"/>
      <c r="F202" s="2">
        <f>D202*Katelaskelma!$D$41</f>
        <v>11142.508687324958</v>
      </c>
      <c r="G202" s="5">
        <f>D202*Lähtötiedot!$C$11+Katelaskelma!$F$31-Katelaskelma!$F$46</f>
        <v>91406.676856929611</v>
      </c>
      <c r="H202" s="77">
        <v>17</v>
      </c>
      <c r="I202" s="6">
        <f t="shared" ca="1" si="17"/>
        <v>106677.07684021394</v>
      </c>
      <c r="J202" s="6">
        <f t="shared" ca="1" si="14"/>
        <v>106.67707684021394</v>
      </c>
      <c r="K202" s="4">
        <f t="shared" ca="1" si="15"/>
        <v>0.19224698067189472</v>
      </c>
      <c r="L202" s="55">
        <f t="shared" ca="1" si="16"/>
        <v>6.3655207761788952E-4</v>
      </c>
    </row>
    <row r="203" spans="1:12" x14ac:dyDescent="0.25">
      <c r="A203" s="5"/>
      <c r="C203" s="2">
        <v>202</v>
      </c>
      <c r="D203" s="5">
        <v>1240.0301276284233</v>
      </c>
      <c r="E203" s="5"/>
      <c r="F203" s="2">
        <f>D203*Katelaskelma!$D$41</f>
        <v>14803.399169274771</v>
      </c>
      <c r="G203" s="5">
        <f>D203*Lähtötiedot!$C$11+Katelaskelma!$F$31-Katelaskelma!$F$46</f>
        <v>134952.43620795166</v>
      </c>
      <c r="H203" s="77">
        <v>18</v>
      </c>
      <c r="I203" s="6">
        <f t="shared" ca="1" si="17"/>
        <v>102131.72810077148</v>
      </c>
      <c r="J203" s="6">
        <f t="shared" ca="1" si="14"/>
        <v>102.13172810077148</v>
      </c>
      <c r="K203" s="4">
        <f t="shared" ca="1" si="15"/>
        <v>0.2221280206464773</v>
      </c>
      <c r="L203" s="55">
        <f t="shared" ca="1" si="16"/>
        <v>6.7765111558617196E-4</v>
      </c>
    </row>
    <row r="204" spans="1:12" x14ac:dyDescent="0.25">
      <c r="A204" s="5"/>
      <c r="C204" s="2">
        <v>203</v>
      </c>
      <c r="D204" s="5">
        <v>337.03092389145223</v>
      </c>
      <c r="E204" s="5"/>
      <c r="F204" s="2">
        <f>D204*Katelaskelma!$D$41</f>
        <v>4023.4532916523253</v>
      </c>
      <c r="G204" s="5">
        <f>D204*Lähtötiedot!$C$11+Katelaskelma!$F$31-Katelaskelma!$F$46</f>
        <v>6726.5492773017613</v>
      </c>
      <c r="H204" s="77">
        <v>19</v>
      </c>
      <c r="I204" s="6">
        <f t="shared" ca="1" si="17"/>
        <v>97586.379361329018</v>
      </c>
      <c r="J204" s="6">
        <f t="shared" ca="1" si="14"/>
        <v>97.586379361329023</v>
      </c>
      <c r="K204" s="4">
        <f t="shared" ca="1" si="15"/>
        <v>0.25379282750881549</v>
      </c>
      <c r="L204" s="55">
        <f t="shared" ca="1" si="16"/>
        <v>7.1496566577616285E-4</v>
      </c>
    </row>
    <row r="205" spans="1:12" x14ac:dyDescent="0.25">
      <c r="A205" s="5"/>
      <c r="C205" s="2">
        <v>204</v>
      </c>
      <c r="D205" s="5">
        <v>1553.0598492012507</v>
      </c>
      <c r="E205" s="5"/>
      <c r="F205" s="2">
        <f>D205*Katelaskelma!$D$41</f>
        <v>18540.327665642773</v>
      </c>
      <c r="G205" s="5">
        <f>D205*Lähtötiedot!$C$11+Katelaskelma!$F$31-Katelaskelma!$F$46</f>
        <v>179402.65667129314</v>
      </c>
      <c r="H205" s="77">
        <v>20</v>
      </c>
      <c r="I205" s="6">
        <f t="shared" ca="1" si="17"/>
        <v>93041.030621886559</v>
      </c>
      <c r="J205" s="6">
        <f t="shared" ca="1" si="14"/>
        <v>93.041030621886563</v>
      </c>
      <c r="K205" s="4">
        <f ca="1">1-_xlfn.BETA.DIST($I205,$M$8,$M$9,TRUE,$M$4,$M$5)</f>
        <v>0.28705969581747537</v>
      </c>
      <c r="L205" s="55">
        <f t="shared" ca="1" si="16"/>
        <v>7.4807831501954301E-4</v>
      </c>
    </row>
    <row r="206" spans="1:12" x14ac:dyDescent="0.25">
      <c r="A206" s="5"/>
      <c r="C206" s="2">
        <v>205</v>
      </c>
      <c r="D206" s="5">
        <v>1002.3984686315282</v>
      </c>
      <c r="E206" s="5"/>
      <c r="F206" s="2">
        <f>D206*Katelaskelma!$D$41</f>
        <v>11966.56784960693</v>
      </c>
      <c r="G206" s="5">
        <f>D206*Lähtötiedot!$C$11+Katelaskelma!$F$31-Katelaskelma!$F$46</f>
        <v>101208.74063039254</v>
      </c>
      <c r="H206" s="77">
        <v>21</v>
      </c>
      <c r="I206" s="6">
        <f t="shared" ca="1" si="17"/>
        <v>88495.6818824441</v>
      </c>
      <c r="J206" s="6">
        <f t="shared" ca="1" si="14"/>
        <v>88.495681882444103</v>
      </c>
      <c r="K206" s="4">
        <f t="shared" ca="1" si="15"/>
        <v>0.32172915583075101</v>
      </c>
      <c r="L206" s="55">
        <f t="shared" ca="1" si="16"/>
        <v>7.7662490707398088E-4</v>
      </c>
    </row>
    <row r="207" spans="1:12" x14ac:dyDescent="0.25">
      <c r="A207" s="5"/>
      <c r="C207" s="2">
        <v>206</v>
      </c>
      <c r="D207" s="5">
        <v>807.86498788593167</v>
      </c>
      <c r="E207" s="5"/>
      <c r="F207" s="2">
        <f>D207*Katelaskelma!$D$41</f>
        <v>9644.2397842613937</v>
      </c>
      <c r="G207" s="5">
        <f>D207*Lähtötiedot!$C$11+Katelaskelma!$F$31-Katelaskelma!$F$46</f>
        <v>73584.986364517827</v>
      </c>
      <c r="H207" s="77">
        <v>22</v>
      </c>
      <c r="I207" s="6">
        <f t="shared" ca="1" si="17"/>
        <v>83950.333143001641</v>
      </c>
      <c r="J207" s="6">
        <f t="shared" ca="1" si="14"/>
        <v>83.950333143001643</v>
      </c>
      <c r="K207" s="4">
        <f t="shared" ca="1" si="15"/>
        <v>0.35758640463311775</v>
      </c>
      <c r="L207" s="55">
        <f t="shared" ca="1" si="16"/>
        <v>8.00294996177038E-4</v>
      </c>
    </row>
    <row r="208" spans="1:12" x14ac:dyDescent="0.25">
      <c r="A208" s="5"/>
      <c r="C208" s="2">
        <v>207</v>
      </c>
      <c r="D208" s="5">
        <v>914.51900452454652</v>
      </c>
      <c r="E208" s="5"/>
      <c r="F208" s="2">
        <f>D208*Katelaskelma!$D$41</f>
        <v>10917.468511637115</v>
      </c>
      <c r="G208" s="5">
        <f>D208*Lähtötiedot!$C$11+Katelaskelma!$F$31-Katelaskelma!$F$46</f>
        <v>88729.856727201142</v>
      </c>
      <c r="H208" s="77">
        <v>23</v>
      </c>
      <c r="I208" s="6">
        <f t="shared" ca="1" si="17"/>
        <v>79404.984403559181</v>
      </c>
      <c r="J208" s="6">
        <f t="shared" ca="1" si="14"/>
        <v>79.404984403559183</v>
      </c>
      <c r="K208" s="4">
        <f t="shared" ca="1" si="15"/>
        <v>0.39440375729476096</v>
      </c>
      <c r="L208" s="55">
        <f t="shared" ca="1" si="16"/>
        <v>8.188322760554306E-4</v>
      </c>
    </row>
    <row r="209" spans="1:12" x14ac:dyDescent="0.25">
      <c r="A209" s="5"/>
      <c r="C209" s="2">
        <v>208</v>
      </c>
      <c r="D209" s="5">
        <v>1318.9907398178586</v>
      </c>
      <c r="E209" s="5"/>
      <c r="F209" s="2">
        <f>D209*Katelaskelma!$D$41</f>
        <v>15746.02583200435</v>
      </c>
      <c r="G209" s="5">
        <f>D209*Lähtötiedot!$C$11+Katelaskelma!$F$31-Katelaskelma!$F$46</f>
        <v>146164.84313885146</v>
      </c>
      <c r="H209" s="77">
        <v>24</v>
      </c>
      <c r="I209" s="6">
        <f t="shared" ca="1" si="17"/>
        <v>74859.635664116722</v>
      </c>
      <c r="J209" s="6">
        <f t="shared" ca="1" si="14"/>
        <v>74.859635664116723</v>
      </c>
      <c r="K209" s="4">
        <f t="shared" ca="1" si="15"/>
        <v>0.43194311708839428</v>
      </c>
      <c r="L209" s="55">
        <f t="shared" ca="1" si="16"/>
        <v>8.3203499037026816E-4</v>
      </c>
    </row>
    <row r="210" spans="1:12" x14ac:dyDescent="0.25">
      <c r="A210" s="5"/>
      <c r="C210" s="2">
        <v>209</v>
      </c>
      <c r="D210" s="5">
        <v>795.03144539938035</v>
      </c>
      <c r="E210" s="5"/>
      <c r="F210" s="2">
        <f>D210*Katelaskelma!$D$41</f>
        <v>9491.0337871235624</v>
      </c>
      <c r="G210" s="5">
        <f>D210*Lähtötiedot!$C$11+Katelaskelma!$F$31-Katelaskelma!$F$46</f>
        <v>71762.623331427545</v>
      </c>
      <c r="H210" s="77">
        <v>25</v>
      </c>
      <c r="I210" s="6">
        <f t="shared" ca="1" si="17"/>
        <v>70314.286924674263</v>
      </c>
      <c r="J210" s="6">
        <f t="shared" ca="1" si="14"/>
        <v>70.314286924674263</v>
      </c>
      <c r="K210" s="4">
        <f t="shared" ca="1" si="15"/>
        <v>0.46995846403830244</v>
      </c>
      <c r="L210" s="55">
        <f t="shared" ca="1" si="16"/>
        <v>8.3975632970130986E-4</v>
      </c>
    </row>
    <row r="211" spans="1:12" x14ac:dyDescent="0.25">
      <c r="A211" s="5"/>
      <c r="C211" s="2">
        <v>210</v>
      </c>
      <c r="D211" s="5">
        <v>673.19405866954435</v>
      </c>
      <c r="E211" s="5"/>
      <c r="F211" s="2">
        <f>D211*Katelaskelma!$D$41</f>
        <v>8036.5469732003467</v>
      </c>
      <c r="G211" s="5">
        <f>D211*Lähtötiedot!$C$11+Katelaskelma!$F$31-Katelaskelma!$F$46</f>
        <v>54461.714415790833</v>
      </c>
      <c r="H211" s="77">
        <v>26</v>
      </c>
      <c r="I211" s="6">
        <f t="shared" ca="1" si="17"/>
        <v>65768.938185231804</v>
      </c>
      <c r="J211" s="6">
        <f t="shared" ca="1" si="14"/>
        <v>65.768938185231804</v>
      </c>
      <c r="K211" s="4">
        <f t="shared" ca="1" si="15"/>
        <v>0.50819836129386886</v>
      </c>
      <c r="L211" s="55">
        <f t="shared" ca="1" si="16"/>
        <v>8.4190481957003736E-4</v>
      </c>
    </row>
    <row r="212" spans="1:12" x14ac:dyDescent="0.25">
      <c r="A212" s="5"/>
      <c r="C212" s="2">
        <v>211</v>
      </c>
      <c r="D212" s="5">
        <v>580.12795870109335</v>
      </c>
      <c r="E212" s="5"/>
      <c r="F212" s="2">
        <f>D212*Katelaskelma!$D$41</f>
        <v>6925.5299129975656</v>
      </c>
      <c r="G212" s="5">
        <f>D212*Lähtötiedot!$C$11+Katelaskelma!$F$31-Katelaskelma!$F$46</f>
        <v>41246.328220270778</v>
      </c>
      <c r="H212" s="77">
        <v>27</v>
      </c>
      <c r="I212" s="6">
        <f t="shared" ca="1" si="17"/>
        <v>61223.589445789345</v>
      </c>
      <c r="J212" s="6">
        <f t="shared" ca="1" si="14"/>
        <v>61.223589445789344</v>
      </c>
      <c r="K212" s="4">
        <f t="shared" ca="1" si="15"/>
        <v>0.54640847901484035</v>
      </c>
      <c r="L212" s="55">
        <f t="shared" ca="1" si="16"/>
        <v>8.3844470361401778E-4</v>
      </c>
    </row>
    <row r="213" spans="1:12" x14ac:dyDescent="0.25">
      <c r="A213" s="5"/>
      <c r="C213" s="2">
        <v>212</v>
      </c>
      <c r="D213" s="5">
        <v>395.56490058658557</v>
      </c>
      <c r="E213" s="5"/>
      <c r="F213" s="2">
        <f>D213*Katelaskelma!$D$41</f>
        <v>4722.2281058096905</v>
      </c>
      <c r="G213" s="5">
        <f>D213*Lähtötiedot!$C$11+Katelaskelma!$F$31-Katelaskelma!$F$46</f>
        <v>15038.373968010681</v>
      </c>
      <c r="H213" s="77">
        <v>28</v>
      </c>
      <c r="I213" s="6">
        <f t="shared" ca="1" si="17"/>
        <v>56678.240706346885</v>
      </c>
      <c r="J213" s="6">
        <f t="shared" ca="1" si="14"/>
        <v>56.678240706346884</v>
      </c>
      <c r="K213" s="4">
        <f t="shared" ca="1" si="15"/>
        <v>0.58433413563716519</v>
      </c>
      <c r="L213" s="55">
        <f t="shared" ca="1" si="16"/>
        <v>8.2939632581787923E-4</v>
      </c>
    </row>
    <row r="214" spans="1:12" x14ac:dyDescent="0.25">
      <c r="A214" s="5"/>
      <c r="C214" s="2">
        <v>213</v>
      </c>
      <c r="D214" s="5">
        <v>1131.6878400033177</v>
      </c>
      <c r="E214" s="5"/>
      <c r="F214" s="2">
        <f>D214*Katelaskelma!$D$41</f>
        <v>13510.015972453437</v>
      </c>
      <c r="G214" s="5">
        <f>D214*Lähtötiedot!$C$11+Katelaskelma!$F$31-Katelaskelma!$F$46</f>
        <v>119567.83136518666</v>
      </c>
      <c r="H214" s="77">
        <v>29</v>
      </c>
      <c r="I214" s="6">
        <f t="shared" ca="1" si="17"/>
        <v>52132.891966904426</v>
      </c>
      <c r="J214" s="6">
        <f ca="1">I214/1000</f>
        <v>52.132891966904424</v>
      </c>
      <c r="K214" s="4">
        <f t="shared" ca="1" si="15"/>
        <v>0.62172285656413195</v>
      </c>
      <c r="L214" s="55">
        <f t="shared" ca="1" si="16"/>
        <v>8.1483651566133925E-4</v>
      </c>
    </row>
    <row r="215" spans="1:12" x14ac:dyDescent="0.25">
      <c r="A215" s="5"/>
      <c r="C215" s="2">
        <v>214</v>
      </c>
      <c r="D215" s="5">
        <v>666.38421260048403</v>
      </c>
      <c r="E215" s="5"/>
      <c r="F215" s="2">
        <f>D215*Katelaskelma!$D$41</f>
        <v>7955.2514728769675</v>
      </c>
      <c r="G215" s="5">
        <f>D215*Lähtötiedot!$C$11+Katelaskelma!$F$31-Katelaskelma!$F$46</f>
        <v>53494.716273984261</v>
      </c>
      <c r="H215" s="77">
        <v>30</v>
      </c>
      <c r="I215" s="6">
        <f t="shared" ca="1" si="17"/>
        <v>47587.543227461967</v>
      </c>
      <c r="J215" s="6">
        <f t="shared" ca="1" si="14"/>
        <v>47.587543227461964</v>
      </c>
      <c r="K215" s="4">
        <f t="shared" ca="1" si="15"/>
        <v>0.65832695050495327</v>
      </c>
      <c r="L215" s="55">
        <f t="shared" ca="1" si="16"/>
        <v>7.9489898015673382E-4</v>
      </c>
    </row>
    <row r="216" spans="1:12" x14ac:dyDescent="0.25">
      <c r="A216" s="5"/>
      <c r="C216" s="2">
        <v>215</v>
      </c>
      <c r="D216" s="5">
        <v>1055.4557396328066</v>
      </c>
      <c r="E216" s="5"/>
      <c r="F216" s="2">
        <f>D216*Katelaskelma!$D$41</f>
        <v>12599.962106701678</v>
      </c>
      <c r="G216" s="5">
        <f>D216*Lähtötiedot!$C$11+Katelaskelma!$F$31-Katelaskelma!$F$46</f>
        <v>108742.87311257407</v>
      </c>
      <c r="H216" s="77">
        <v>31</v>
      </c>
      <c r="I216" s="6">
        <f t="shared" ca="1" si="17"/>
        <v>43042.194488019508</v>
      </c>
      <c r="J216" s="6">
        <f t="shared" ca="1" si="14"/>
        <v>43.042194488019511</v>
      </c>
      <c r="K216" s="4">
        <f t="shared" ca="1" si="15"/>
        <v>0.69390610386917495</v>
      </c>
      <c r="L216" s="55">
        <f t="shared" ca="1" si="16"/>
        <v>7.6977470702789975E-4</v>
      </c>
    </row>
    <row r="217" spans="1:12" x14ac:dyDescent="0.25">
      <c r="A217" s="5"/>
      <c r="C217" s="2">
        <v>216</v>
      </c>
      <c r="D217" s="5">
        <v>471.55894942082688</v>
      </c>
      <c r="E217" s="5"/>
      <c r="F217" s="2">
        <f>D217*Katelaskelma!$D$41</f>
        <v>5629.4401277741545</v>
      </c>
      <c r="G217" s="5">
        <f>D217*Lähtötiedot!$C$11+Katelaskelma!$F$31-Katelaskelma!$F$46</f>
        <v>25829.528902472957</v>
      </c>
      <c r="H217" s="77">
        <v>32</v>
      </c>
      <c r="I217" s="6">
        <f t="shared" ca="1" si="17"/>
        <v>38496.845748577049</v>
      </c>
      <c r="J217" s="6">
        <f t="shared" ca="1" si="14"/>
        <v>38.496845748577051</v>
      </c>
      <c r="K217" s="4">
        <f t="shared" ca="1" si="15"/>
        <v>0.72822999382845766</v>
      </c>
      <c r="L217" s="55">
        <f t="shared" ca="1" si="16"/>
        <v>7.3971238375227638E-4</v>
      </c>
    </row>
    <row r="218" spans="1:12" x14ac:dyDescent="0.25">
      <c r="A218" s="5"/>
      <c r="C218" s="2">
        <v>217</v>
      </c>
      <c r="D218" s="5">
        <v>924.97195300151247</v>
      </c>
      <c r="E218" s="5"/>
      <c r="F218" s="2">
        <f>D218*Katelaskelma!$D$41</f>
        <v>11042.255132020549</v>
      </c>
      <c r="G218" s="5">
        <f>D218*Lähtötiedot!$C$11+Katelaskelma!$F$31-Katelaskelma!$F$46</f>
        <v>90214.1754109303</v>
      </c>
      <c r="H218" s="77">
        <v>33</v>
      </c>
      <c r="I218" s="6">
        <f t="shared" ca="1" si="17"/>
        <v>33951.497009134589</v>
      </c>
      <c r="J218" s="6">
        <f t="shared" ca="1" si="14"/>
        <v>33.951497009134592</v>
      </c>
      <c r="K218" s="4">
        <f t="shared" ca="1" si="15"/>
        <v>0.76108092088689216</v>
      </c>
      <c r="L218" s="55">
        <f t="shared" ca="1" si="16"/>
        <v>7.0501883789195478E-4</v>
      </c>
    </row>
    <row r="219" spans="1:12" x14ac:dyDescent="0.25">
      <c r="A219" s="5"/>
      <c r="C219" s="2">
        <v>218</v>
      </c>
      <c r="D219" s="5">
        <v>156.84521406319192</v>
      </c>
      <c r="E219" s="5"/>
      <c r="F219" s="2">
        <f>D219*Katelaskelma!$D$41</f>
        <v>1872.4079841578834</v>
      </c>
      <c r="G219" s="5">
        <f>D219*Lähtötiedot!$C$11+Katelaskelma!$F$31-Katelaskelma!$F$46</f>
        <v>-18859.821518311219</v>
      </c>
      <c r="H219" s="77">
        <v>34</v>
      </c>
      <c r="I219" s="6">
        <f t="shared" ca="1" si="17"/>
        <v>29406.148269692134</v>
      </c>
      <c r="J219" s="6">
        <f t="shared" ca="1" si="14"/>
        <v>29.406148269692135</v>
      </c>
      <c r="K219" s="4">
        <f t="shared" ca="1" si="15"/>
        <v>0.79225646206918654</v>
      </c>
      <c r="L219" s="55">
        <f t="shared" ca="1" si="16"/>
        <v>6.6605950514512309E-4</v>
      </c>
    </row>
    <row r="220" spans="1:12" x14ac:dyDescent="0.25">
      <c r="A220" s="5"/>
      <c r="C220" s="2">
        <v>219</v>
      </c>
      <c r="D220" s="5">
        <v>548.50396230805313</v>
      </c>
      <c r="E220" s="5"/>
      <c r="F220" s="2">
        <f>D220*Katelaskelma!$D$41</f>
        <v>6548.0046968730103</v>
      </c>
      <c r="G220" s="5">
        <f>D220*Lähtötiedot!$C$11+Katelaskelma!$F$31-Katelaskelma!$F$46</f>
        <v>36755.720732459071</v>
      </c>
      <c r="H220" s="77">
        <v>35</v>
      </c>
      <c r="I220" s="6">
        <f t="shared" ca="1" si="17"/>
        <v>24860.799530249678</v>
      </c>
      <c r="J220" s="6">
        <f t="shared" ca="1" si="14"/>
        <v>24.860799530249679</v>
      </c>
      <c r="K220" s="4">
        <f t="shared" ca="1" si="15"/>
        <v>0.82157214615867513</v>
      </c>
      <c r="L220" s="55">
        <f t="shared" ca="1" si="16"/>
        <v>6.2325893296117838E-4</v>
      </c>
    </row>
    <row r="221" spans="1:12" x14ac:dyDescent="0.25">
      <c r="A221" s="5"/>
      <c r="C221" s="2">
        <v>220</v>
      </c>
      <c r="D221" s="5">
        <v>758.79952014564674</v>
      </c>
      <c r="E221" s="5"/>
      <c r="F221" s="2">
        <f>D221*Katelaskelma!$D$41</f>
        <v>9058.499415375567</v>
      </c>
      <c r="G221" s="5">
        <f>D221*Lähtötiedot!$C$11+Katelaskelma!$F$31-Katelaskelma!$F$46</f>
        <v>66617.689945397375</v>
      </c>
      <c r="H221" s="77">
        <v>36</v>
      </c>
      <c r="I221" s="6">
        <f t="shared" ca="1" si="17"/>
        <v>20315.450790807223</v>
      </c>
      <c r="J221" s="6">
        <f t="shared" ca="1" si="14"/>
        <v>20.315450790807223</v>
      </c>
      <c r="K221" s="4">
        <f t="shared" ca="1" si="15"/>
        <v>0.84886415281605732</v>
      </c>
      <c r="L221" s="55">
        <f t="shared" ca="1" si="16"/>
        <v>5.7710132954250635E-4</v>
      </c>
    </row>
    <row r="222" spans="1:12" x14ac:dyDescent="0.25">
      <c r="A222" s="5"/>
      <c r="C222" s="2">
        <v>221</v>
      </c>
      <c r="D222" s="5">
        <v>1136.6020242361849</v>
      </c>
      <c r="E222" s="5"/>
      <c r="F222" s="2">
        <f>D222*Katelaskelma!$D$41</f>
        <v>13568.681184829866</v>
      </c>
      <c r="G222" s="5">
        <f>D222*Lähtötiedot!$C$11+Katelaskelma!$F$31-Katelaskelma!$F$46</f>
        <v>120265.64552625379</v>
      </c>
      <c r="H222" s="77">
        <v>37</v>
      </c>
      <c r="I222" s="6">
        <f t="shared" ca="1" si="17"/>
        <v>15770.102051364767</v>
      </c>
      <c r="J222" s="6">
        <f t="shared" ca="1" si="14"/>
        <v>15.770102051364768</v>
      </c>
      <c r="K222" s="4">
        <f ca="1">1-_xlfn.BETA.DIST($I222,$M$8,$M$9,TRUE,$M$4,$M$5)</f>
        <v>0.87399203791610647</v>
      </c>
      <c r="L222" s="55">
        <f t="shared" ca="1" si="16"/>
        <v>5.281311708529616E-4</v>
      </c>
    </row>
    <row r="223" spans="1:12" x14ac:dyDescent="0.25">
      <c r="A223" s="5"/>
      <c r="C223" s="2">
        <v>222</v>
      </c>
      <c r="D223" s="5">
        <v>1070.8747126347805</v>
      </c>
      <c r="E223" s="5"/>
      <c r="F223" s="2">
        <f>D223*Katelaskelma!$D$41</f>
        <v>12784.032805503995</v>
      </c>
      <c r="G223" s="5">
        <f>D223*Lähtötiedot!$C$11+Katelaskelma!$F$31-Katelaskelma!$F$46</f>
        <v>110932.36727885436</v>
      </c>
      <c r="H223" s="77">
        <v>38</v>
      </c>
      <c r="I223" s="6">
        <f t="shared" ca="1" si="17"/>
        <v>11224.753311922312</v>
      </c>
      <c r="J223" s="6">
        <f t="shared" ca="1" si="14"/>
        <v>11.224753311922312</v>
      </c>
      <c r="K223" s="4">
        <f t="shared" ca="1" si="15"/>
        <v>0.89684148809878805</v>
      </c>
      <c r="L223" s="55">
        <f t="shared" ca="1" si="16"/>
        <v>4.7695388226466769E-4</v>
      </c>
    </row>
    <row r="224" spans="1:12" x14ac:dyDescent="0.25">
      <c r="A224" s="5"/>
      <c r="C224" s="2">
        <v>223</v>
      </c>
      <c r="D224" s="5">
        <v>389.79370404870662</v>
      </c>
      <c r="E224" s="5"/>
      <c r="F224" s="2">
        <f>D224*Katelaskelma!$D$41</f>
        <v>4653.3319361674648</v>
      </c>
      <c r="G224" s="5">
        <f>D224*Lähtötiedot!$C$11+Katelaskelma!$F$31-Katelaskelma!$F$46</f>
        <v>14218.864059631873</v>
      </c>
      <c r="H224" s="77">
        <v>39</v>
      </c>
      <c r="I224" s="6">
        <f t="shared" ca="1" si="17"/>
        <v>6679.4045724798561</v>
      </c>
      <c r="J224" s="6">
        <f t="shared" ca="1" si="14"/>
        <v>6.6794045724798563</v>
      </c>
      <c r="K224" s="4">
        <f t="shared" ca="1" si="15"/>
        <v>0.91732710841192555</v>
      </c>
      <c r="L224" s="55">
        <f t="shared" ca="1" si="16"/>
        <v>4.2423661734651314E-4</v>
      </c>
    </row>
    <row r="225" spans="1:12" x14ac:dyDescent="0.25">
      <c r="A225" s="5"/>
      <c r="C225" s="2">
        <v>224</v>
      </c>
      <c r="D225" s="5">
        <v>420.11718358669606</v>
      </c>
      <c r="E225" s="5"/>
      <c r="F225" s="2">
        <f>D225*Katelaskelma!$D$41</f>
        <v>5015.3316664971653</v>
      </c>
      <c r="G225" s="5">
        <f>D225*Lähtötiedot!$C$11+Katelaskelma!$F$31-Katelaskelma!$F$46</f>
        <v>18524.798154026372</v>
      </c>
      <c r="H225" s="77">
        <v>40</v>
      </c>
      <c r="I225" s="6">
        <f t="shared" ca="1" si="17"/>
        <v>2134.0558330374006</v>
      </c>
      <c r="J225" s="6">
        <f t="shared" ca="1" si="14"/>
        <v>2.1340558330374004</v>
      </c>
      <c r="K225" s="4">
        <f t="shared" ca="1" si="15"/>
        <v>0.93539524813184072</v>
      </c>
      <c r="L225" s="55">
        <f t="shared" ca="1" si="16"/>
        <v>3.7070916511714044E-4</v>
      </c>
    </row>
    <row r="226" spans="1:12" x14ac:dyDescent="0.25">
      <c r="A226" s="5"/>
      <c r="C226" s="2">
        <v>225</v>
      </c>
      <c r="D226" s="5">
        <v>736.21803097036104</v>
      </c>
      <c r="E226" s="5"/>
      <c r="F226" s="2">
        <f>D226*Katelaskelma!$D$41</f>
        <v>8788.9230634382693</v>
      </c>
      <c r="G226" s="5">
        <f>D226*Lähtötiedot!$C$11+Katelaskelma!$F$31-Katelaskelma!$F$46</f>
        <v>63411.118482506805</v>
      </c>
      <c r="H226" s="77">
        <v>41</v>
      </c>
      <c r="I226" s="6">
        <f t="shared" ca="1" si="17"/>
        <v>-2411.292906405055</v>
      </c>
      <c r="J226" s="6">
        <f t="shared" ca="1" si="14"/>
        <v>-2.411292906405055</v>
      </c>
      <c r="K226" s="4">
        <f t="shared" ca="1" si="15"/>
        <v>0.95102687155928589</v>
      </c>
      <c r="L226" s="55">
        <f t="shared" ca="1" si="16"/>
        <v>3.1716503075380673E-4</v>
      </c>
    </row>
    <row r="227" spans="1:12" x14ac:dyDescent="0.25">
      <c r="A227" s="5"/>
      <c r="C227" s="2">
        <v>226</v>
      </c>
      <c r="D227" s="5">
        <v>977.83483934101446</v>
      </c>
      <c r="E227" s="5"/>
      <c r="F227" s="2">
        <f>D227*Katelaskelma!$D$41</f>
        <v>11673.328837641146</v>
      </c>
      <c r="G227" s="5">
        <f>D227*Lähtötiedot!$C$11+Katelaskelma!$F$31-Katelaskelma!$F$46</f>
        <v>97720.705271139595</v>
      </c>
      <c r="H227" s="77">
        <v>42</v>
      </c>
      <c r="I227" s="6">
        <f t="shared" ca="1" si="17"/>
        <v>-6956.6416458475105</v>
      </c>
      <c r="J227" s="6">
        <f t="shared" ca="1" si="14"/>
        <v>-6.9566416458475109</v>
      </c>
      <c r="K227" s="4">
        <f t="shared" ca="1" si="15"/>
        <v>0.96424048309183896</v>
      </c>
      <c r="L227" s="55">
        <f t="shared" ca="1" si="16"/>
        <v>2.6446275674915859E-4</v>
      </c>
    </row>
    <row r="228" spans="1:12" x14ac:dyDescent="0.25">
      <c r="A228" s="5"/>
      <c r="C228" s="2">
        <v>227</v>
      </c>
      <c r="D228" s="5">
        <v>970.59058894515533</v>
      </c>
      <c r="E228" s="5"/>
      <c r="F228" s="2">
        <f>D228*Katelaskelma!$D$41</f>
        <v>11586.847446663027</v>
      </c>
      <c r="G228" s="5">
        <f>D228*Lähtötiedot!$C$11+Katelaskelma!$F$31-Katelaskelma!$F$46</f>
        <v>96692.0217149276</v>
      </c>
      <c r="H228" s="77">
        <v>43</v>
      </c>
      <c r="I228" s="6">
        <f t="shared" ca="1" si="17"/>
        <v>-11501.990385289966</v>
      </c>
      <c r="J228" s="6">
        <f ca="1">I228/1000</f>
        <v>-11.501990385289966</v>
      </c>
      <c r="K228" s="4">
        <f t="shared" ca="1" si="15"/>
        <v>0.97509511968512086</v>
      </c>
      <c r="L228" s="55">
        <f t="shared" ca="1" si="16"/>
        <v>2.135275885777559E-4</v>
      </c>
    </row>
    <row r="229" spans="1:12" x14ac:dyDescent="0.25">
      <c r="A229" s="5"/>
      <c r="C229" s="2">
        <v>228</v>
      </c>
      <c r="D229" s="5">
        <v>746.85865225839939</v>
      </c>
      <c r="E229" s="5"/>
      <c r="F229" s="2">
        <f>D229*Katelaskelma!$D$41</f>
        <v>8915.9501096578388</v>
      </c>
      <c r="G229" s="5">
        <f>D229*Lähtötiedot!$C$11+Katelaskelma!$F$31-Katelaskelma!$F$46</f>
        <v>64922.086705408234</v>
      </c>
      <c r="H229" s="77">
        <v>44</v>
      </c>
      <c r="I229" s="6">
        <f t="shared" ca="1" si="17"/>
        <v>-16047.339124732422</v>
      </c>
      <c r="J229" s="6">
        <f t="shared" ca="1" si="14"/>
        <v>-16.047339124732421</v>
      </c>
      <c r="K229" s="4">
        <f t="shared" ca="1" si="15"/>
        <v>0.98369342989540531</v>
      </c>
      <c r="L229" s="55">
        <f t="shared" ca="1" si="16"/>
        <v>1.6535365499713105E-4</v>
      </c>
    </row>
    <row r="230" spans="1:12" x14ac:dyDescent="0.25">
      <c r="A230" s="5"/>
      <c r="C230" s="2">
        <v>229</v>
      </c>
      <c r="D230" s="5">
        <v>629.19313335699621</v>
      </c>
      <c r="E230" s="5"/>
      <c r="F230" s="2">
        <f>D230*Katelaskelma!$D$41</f>
        <v>7511.2667830610644</v>
      </c>
      <c r="G230" s="5">
        <f>D230*Lähtötiedot!$C$11+Katelaskelma!$F$31-Katelaskelma!$F$46</f>
        <v>48213.583021408995</v>
      </c>
      <c r="H230" s="77">
        <v>45</v>
      </c>
      <c r="I230" s="6">
        <f t="shared" ca="1" si="17"/>
        <v>-20592.687864174877</v>
      </c>
      <c r="J230" s="6">
        <f t="shared" ca="1" si="14"/>
        <v>-20.592687864174877</v>
      </c>
      <c r="K230" s="4">
        <f t="shared" ca="1" si="15"/>
        <v>0.99018486897361679</v>
      </c>
      <c r="L230" s="55">
        <f t="shared" ca="1" si="16"/>
        <v>1.2100695939867536E-4</v>
      </c>
    </row>
    <row r="231" spans="1:12" x14ac:dyDescent="0.25">
      <c r="A231" s="5"/>
      <c r="C231" s="2">
        <v>230</v>
      </c>
      <c r="D231" s="5">
        <v>177.86617109638729</v>
      </c>
      <c r="E231" s="5"/>
      <c r="F231" s="2">
        <f>D231*Katelaskelma!$D$41</f>
        <v>2123.3548046820788</v>
      </c>
      <c r="G231" s="5">
        <f>D231*Lähtötiedot!$C$11+Katelaskelma!$F$31-Katelaskelma!$F$46</f>
        <v>-15874.845619597472</v>
      </c>
      <c r="H231" s="77">
        <v>46</v>
      </c>
      <c r="I231" s="6">
        <f t="shared" ca="1" si="17"/>
        <v>-25138.036603617333</v>
      </c>
      <c r="J231" s="6">
        <f t="shared" ca="1" si="14"/>
        <v>-25.138036603617333</v>
      </c>
      <c r="K231" s="4">
        <f t="shared" ca="1" si="15"/>
        <v>0.99476905817991967</v>
      </c>
      <c r="L231" s="55">
        <f t="shared" ca="1" si="16"/>
        <v>8.162974292813809E-5</v>
      </c>
    </row>
    <row r="232" spans="1:12" x14ac:dyDescent="0.25">
      <c r="A232" s="5"/>
      <c r="C232" s="2">
        <v>231</v>
      </c>
      <c r="D232" s="5">
        <v>1261.3885658425586</v>
      </c>
      <c r="E232" s="5"/>
      <c r="F232" s="2">
        <f>D232*Katelaskelma!$D$41</f>
        <v>15058.374818230037</v>
      </c>
      <c r="G232" s="5">
        <f>D232*Lähtötiedot!$C$11+Katelaskelma!$F$31-Katelaskelma!$F$46</f>
        <v>137985.33443435887</v>
      </c>
      <c r="H232" s="77">
        <v>47</v>
      </c>
      <c r="I232" s="6">
        <f t="shared" ca="1" si="17"/>
        <v>-29683.385343059788</v>
      </c>
      <c r="J232" s="6">
        <f t="shared" ca="1" si="14"/>
        <v>-29.68338534305979</v>
      </c>
      <c r="K232" s="4">
        <f t="shared" ca="1" si="15"/>
        <v>0.99769939401226393</v>
      </c>
      <c r="L232" s="55">
        <f t="shared" ca="1" si="16"/>
        <v>4.8447405099941824E-5</v>
      </c>
    </row>
    <row r="233" spans="1:12" x14ac:dyDescent="0.25">
      <c r="A233" s="5"/>
      <c r="C233" s="2">
        <v>232</v>
      </c>
      <c r="D233" s="5">
        <v>1093.8517274680437</v>
      </c>
      <c r="E233" s="5"/>
      <c r="F233" s="2">
        <f>D233*Katelaskelma!$D$41</f>
        <v>13058.330917071382</v>
      </c>
      <c r="G233" s="5">
        <f>D233*Lähtötiedot!$C$11+Katelaskelma!$F$31-Katelaskelma!$F$46</f>
        <v>114195.10338517773</v>
      </c>
      <c r="H233" s="77">
        <v>48</v>
      </c>
      <c r="I233" s="6">
        <f t="shared" ca="1" si="17"/>
        <v>-34228.73408250224</v>
      </c>
      <c r="J233" s="6">
        <f t="shared" ca="1" si="14"/>
        <v>-34.228734082502243</v>
      </c>
      <c r="K233" s="4">
        <f t="shared" ca="1" si="15"/>
        <v>0.99928707957367158</v>
      </c>
      <c r="L233" s="55">
        <f t="shared" ca="1" si="16"/>
        <v>2.2780931227061255E-5</v>
      </c>
    </row>
    <row r="234" spans="1:12" x14ac:dyDescent="0.25">
      <c r="A234" s="5"/>
      <c r="C234" s="2">
        <v>233</v>
      </c>
      <c r="D234" s="5">
        <v>734.76578386589722</v>
      </c>
      <c r="E234" s="5"/>
      <c r="F234" s="2">
        <f>D234*Katelaskelma!$D$41</f>
        <v>8771.5862317752217</v>
      </c>
      <c r="G234" s="5">
        <f>D234*Lähtötiedot!$C$11+Katelaskelma!$F$31-Katelaskelma!$F$46</f>
        <v>63204.899393672938</v>
      </c>
      <c r="H234" s="77">
        <v>49</v>
      </c>
      <c r="I234" s="6">
        <f t="shared" ca="1" si="17"/>
        <v>-38774.082821944699</v>
      </c>
      <c r="J234" s="6">
        <f t="shared" ca="1" si="14"/>
        <v>-38.774082821944702</v>
      </c>
      <c r="K234" s="4">
        <f t="shared" ca="1" si="15"/>
        <v>0.99990599902484256</v>
      </c>
      <c r="L234" s="55">
        <f t="shared" ca="1" si="16"/>
        <v>6.0744322798865882E-6</v>
      </c>
    </row>
    <row r="235" spans="1:12" x14ac:dyDescent="0.25">
      <c r="A235" s="5"/>
      <c r="C235" s="2">
        <v>234</v>
      </c>
      <c r="D235" s="5">
        <v>560.92001261201381</v>
      </c>
      <c r="E235" s="5"/>
      <c r="F235" s="2">
        <f>D235*Katelaskelma!$D$41</f>
        <v>6696.2266994358397</v>
      </c>
      <c r="G235" s="5">
        <f>D235*Lähtötiedot!$C$11+Katelaskelma!$F$31-Katelaskelma!$F$46</f>
        <v>38518.799875621509</v>
      </c>
      <c r="H235" s="77">
        <v>50</v>
      </c>
      <c r="I235" s="6">
        <f ca="1">M4</f>
        <v>-43319.431561387188</v>
      </c>
      <c r="J235" s="6">
        <f t="shared" ca="1" si="14"/>
        <v>-43.319431561387191</v>
      </c>
      <c r="K235" s="4">
        <f t="shared" ca="1" si="15"/>
        <v>1</v>
      </c>
      <c r="L235" s="55">
        <f t="shared" ca="1" si="16"/>
        <v>0</v>
      </c>
    </row>
    <row r="236" spans="1:12" x14ac:dyDescent="0.25">
      <c r="A236" s="5"/>
      <c r="C236" s="2">
        <v>235</v>
      </c>
      <c r="D236" s="5">
        <v>530.80572702074028</v>
      </c>
      <c r="E236" s="5"/>
      <c r="F236" s="2">
        <f>D236*Katelaskelma!$D$41</f>
        <v>6336.7243128625796</v>
      </c>
      <c r="G236" s="5">
        <f>D236*Lähtötiedot!$C$11+Katelaskelma!$F$31-Katelaskelma!$F$46</f>
        <v>34242.571321660653</v>
      </c>
      <c r="H236" s="1"/>
    </row>
    <row r="237" spans="1:12" x14ac:dyDescent="0.25">
      <c r="A237" s="5"/>
      <c r="C237" s="2">
        <v>236</v>
      </c>
      <c r="D237" s="5">
        <v>640.62331670124536</v>
      </c>
      <c r="E237" s="5"/>
      <c r="F237" s="2">
        <f>D237*Katelaskelma!$D$41</f>
        <v>7647.7195698546602</v>
      </c>
      <c r="G237" s="5">
        <f>D237*Lähtötiedot!$C$11+Katelaskelma!$F$31-Katelaskelma!$F$46</f>
        <v>49836.669056292361</v>
      </c>
      <c r="H237" s="1"/>
    </row>
    <row r="238" spans="1:12" x14ac:dyDescent="0.25">
      <c r="A238" s="5"/>
      <c r="C238" s="2">
        <v>237</v>
      </c>
      <c r="D238" s="5">
        <v>899.03788828682195</v>
      </c>
      <c r="E238" s="5"/>
      <c r="F238" s="2">
        <f>D238*Katelaskelma!$D$41</f>
        <v>10732.655950920323</v>
      </c>
      <c r="G238" s="5">
        <f>D238*Lähtötiedot!$C$11+Katelaskelma!$F$31-Katelaskelma!$F$46</f>
        <v>86531.538221444265</v>
      </c>
      <c r="H238" s="1"/>
    </row>
    <row r="239" spans="1:12" x14ac:dyDescent="0.25">
      <c r="A239" s="5"/>
      <c r="C239" s="2">
        <v>238</v>
      </c>
      <c r="D239" s="5">
        <v>922.34275184644844</v>
      </c>
      <c r="E239" s="5"/>
      <c r="F239" s="2">
        <f>D239*Katelaskelma!$D$41</f>
        <v>11010.867899301318</v>
      </c>
      <c r="G239" s="5">
        <f>D239*Lähtötiedot!$C$11+Katelaskelma!$F$31-Katelaskelma!$F$46</f>
        <v>89840.828846911201</v>
      </c>
      <c r="H239" s="1"/>
    </row>
    <row r="240" spans="1:12" x14ac:dyDescent="0.25">
      <c r="A240" s="5"/>
      <c r="C240" s="2">
        <v>239</v>
      </c>
      <c r="D240" s="5">
        <v>1122.5786867929626</v>
      </c>
      <c r="E240" s="5"/>
      <c r="F240" s="2">
        <f>D240*Katelaskelma!$D$41</f>
        <v>13401.271492732722</v>
      </c>
      <c r="G240" s="5">
        <f>D240*Lähtötiedot!$C$11+Katelaskelma!$F$31-Katelaskelma!$F$46</f>
        <v>118274.33160931623</v>
      </c>
      <c r="H240" s="1"/>
    </row>
    <row r="241" spans="1:8" x14ac:dyDescent="0.25">
      <c r="A241" s="5"/>
      <c r="C241" s="2">
        <v>240</v>
      </c>
      <c r="D241" s="5">
        <v>830.31902012675869</v>
      </c>
      <c r="E241" s="5"/>
      <c r="F241" s="2">
        <f>D241*Katelaskelma!$D$41</f>
        <v>9912.2945635887645</v>
      </c>
      <c r="G241" s="5">
        <f>D241*Lähtötiedot!$C$11+Katelaskelma!$F$31-Katelaskelma!$F$46</f>
        <v>76773.458942715282</v>
      </c>
      <c r="H241" s="1"/>
    </row>
    <row r="242" spans="1:8" x14ac:dyDescent="0.25">
      <c r="A242" s="5"/>
      <c r="C242" s="2">
        <v>241</v>
      </c>
      <c r="D242" s="5">
        <v>411.97003480107225</v>
      </c>
      <c r="E242" s="5"/>
      <c r="F242" s="2">
        <f>D242*Katelaskelma!$D$41</f>
        <v>4918.0715331520823</v>
      </c>
      <c r="G242" s="5">
        <f>D242*Lähtötiedot!$C$11+Katelaskelma!$F$31-Katelaskelma!$F$46</f>
        <v>17367.9030264678</v>
      </c>
      <c r="H242" s="1"/>
    </row>
    <row r="243" spans="1:8" x14ac:dyDescent="0.25">
      <c r="A243" s="5"/>
      <c r="C243" s="2">
        <v>242</v>
      </c>
      <c r="D243" s="5">
        <v>580.96373146906149</v>
      </c>
      <c r="E243" s="5"/>
      <c r="F243" s="2">
        <f>D243*Katelaskelma!$D$41</f>
        <v>6935.5073140488639</v>
      </c>
      <c r="G243" s="5">
        <f>D243*Lähtötiedot!$C$11+Katelaskelma!$F$31-Katelaskelma!$F$46</f>
        <v>41365.00795332226</v>
      </c>
      <c r="H243" s="1"/>
    </row>
    <row r="244" spans="1:8" x14ac:dyDescent="0.25">
      <c r="A244" s="5"/>
      <c r="C244" s="2">
        <v>243</v>
      </c>
      <c r="D244" s="5">
        <v>675.4603685667114</v>
      </c>
      <c r="E244" s="5"/>
      <c r="F244" s="2">
        <f>D244*Katelaskelma!$D$41</f>
        <v>8063.6020336392448</v>
      </c>
      <c r="G244" s="5">
        <f>D244*Lähtötiedot!$C$11+Katelaskelma!$F$31-Katelaskelma!$F$46</f>
        <v>54783.530421188567</v>
      </c>
      <c r="H244" s="1"/>
    </row>
    <row r="245" spans="1:8" x14ac:dyDescent="0.25">
      <c r="A245" s="5"/>
      <c r="C245" s="2">
        <v>244</v>
      </c>
      <c r="D245" s="5">
        <v>524.06500647929965</v>
      </c>
      <c r="E245" s="5"/>
      <c r="F245" s="2">
        <f>D245*Katelaskelma!$D$41</f>
        <v>6256.2540286007634</v>
      </c>
      <c r="G245" s="5">
        <f>D245*Lähtötiedot!$C$11+Katelaskelma!$F$31-Katelaskelma!$F$46</f>
        <v>33285.38900477608</v>
      </c>
      <c r="H245" s="1"/>
    </row>
    <row r="246" spans="1:8" x14ac:dyDescent="0.25">
      <c r="A246" s="5"/>
      <c r="C246" s="2">
        <v>245</v>
      </c>
      <c r="D246" s="5">
        <v>505.2796900106012</v>
      </c>
      <c r="E246" s="5"/>
      <c r="F246" s="2">
        <f>D246*Katelaskelma!$D$41</f>
        <v>6031.9961400128959</v>
      </c>
      <c r="G246" s="5">
        <f>D246*Lähtötiedot!$C$11+Katelaskelma!$F$31-Katelaskelma!$F$46</f>
        <v>30617.874066220917</v>
      </c>
      <c r="H246" s="1"/>
    </row>
    <row r="247" spans="1:8" x14ac:dyDescent="0.25">
      <c r="A247" s="5"/>
      <c r="C247" s="2">
        <v>246</v>
      </c>
      <c r="D247" s="5">
        <v>963.96516382331106</v>
      </c>
      <c r="E247" s="5"/>
      <c r="F247" s="2">
        <f>D247*Katelaskelma!$D$41</f>
        <v>11507.753551636155</v>
      </c>
      <c r="G247" s="5">
        <f>D247*Lähtötiedot!$C$11+Katelaskelma!$F$31-Katelaskelma!$F$46</f>
        <v>95751.211347625707</v>
      </c>
      <c r="H247" s="1"/>
    </row>
    <row r="248" spans="1:8" x14ac:dyDescent="0.25">
      <c r="A248" s="5"/>
      <c r="C248" s="2">
        <v>247</v>
      </c>
      <c r="D248" s="5">
        <v>292.65430914203017</v>
      </c>
      <c r="E248" s="5"/>
      <c r="F248" s="2">
        <f>D248*Katelaskelma!$D$41</f>
        <v>3493.6881454028548</v>
      </c>
      <c r="G248" s="5">
        <f>D248*Lähtötiedot!$C$11+Katelaskelma!$F$31-Katelaskelma!$F$46</f>
        <v>425.06998288381146</v>
      </c>
      <c r="H248" s="1"/>
    </row>
    <row r="249" spans="1:8" x14ac:dyDescent="0.25">
      <c r="A249" s="5"/>
      <c r="C249" s="2">
        <v>248</v>
      </c>
      <c r="D249" s="5">
        <v>484.5387708268666</v>
      </c>
      <c r="E249" s="5"/>
      <c r="F249" s="2">
        <f>D249*Katelaskelma!$D$41</f>
        <v>5784.3923931574036</v>
      </c>
      <c r="G249" s="5">
        <f>D249*Lähtötiedot!$C$11+Katelaskelma!$F$31-Katelaskelma!$F$46</f>
        <v>27672.663542130584</v>
      </c>
      <c r="H249" s="1"/>
    </row>
    <row r="250" spans="1:8" x14ac:dyDescent="0.25">
      <c r="A250" s="5"/>
      <c r="C250" s="2">
        <v>249</v>
      </c>
      <c r="D250" s="5">
        <v>654.71053084905157</v>
      </c>
      <c r="E250" s="5"/>
      <c r="F250" s="2">
        <f>D250*Katelaskelma!$D$41</f>
        <v>7815.8918179046841</v>
      </c>
      <c r="G250" s="5">
        <f>D250*Lähtötiedot!$C$11+Katelaskelma!$F$31-Katelaskelma!$F$46</f>
        <v>51837.053465280856</v>
      </c>
      <c r="H250" s="1"/>
    </row>
    <row r="251" spans="1:8" x14ac:dyDescent="0.25">
      <c r="A251" s="5"/>
      <c r="C251" s="2">
        <v>250</v>
      </c>
      <c r="D251" s="5">
        <v>584.69296884726214</v>
      </c>
      <c r="E251" s="5"/>
      <c r="F251" s="2">
        <f>D251*Katelaskelma!$D$41</f>
        <v>6980.026707793003</v>
      </c>
      <c r="G251" s="5">
        <f>D251*Lähtötiedot!$C$11+Katelaskelma!$F$31-Katelaskelma!$F$46</f>
        <v>41894.559661026753</v>
      </c>
      <c r="H251" s="1"/>
    </row>
    <row r="252" spans="1:8" x14ac:dyDescent="0.25">
      <c r="A252" s="5"/>
      <c r="C252" s="2">
        <v>251</v>
      </c>
      <c r="D252" s="5">
        <v>1007.311467630461</v>
      </c>
      <c r="E252" s="5"/>
      <c r="F252" s="2">
        <f>D252*Katelaskelma!$D$41</f>
        <v>12025.218912737586</v>
      </c>
      <c r="G252" s="5">
        <f>D252*Lähtötiedot!$C$11+Katelaskelma!$F$31-Katelaskelma!$F$46</f>
        <v>101906.386488241</v>
      </c>
      <c r="H252" s="1"/>
    </row>
    <row r="253" spans="1:8" x14ac:dyDescent="0.25">
      <c r="A253" s="5"/>
      <c r="C253" s="2">
        <v>252</v>
      </c>
      <c r="D253" s="5">
        <v>509.5431190518637</v>
      </c>
      <c r="E253" s="5"/>
      <c r="F253" s="2">
        <f>D253*Katelaskelma!$D$41</f>
        <v>6082.8926791545637</v>
      </c>
      <c r="G253" s="5">
        <f>D253*Lähtötiedot!$C$11+Katelaskelma!$F$31-Katelaskelma!$F$46</f>
        <v>31223.28099008018</v>
      </c>
      <c r="H253" s="1"/>
    </row>
    <row r="254" spans="1:8" x14ac:dyDescent="0.25">
      <c r="A254" s="5"/>
      <c r="C254" s="2">
        <v>253</v>
      </c>
      <c r="D254" s="5">
        <v>309.38310118533701</v>
      </c>
      <c r="E254" s="5"/>
      <c r="F254" s="2">
        <f>D254*Katelaskelma!$D$41</f>
        <v>3693.395378896028</v>
      </c>
      <c r="G254" s="5">
        <f>D254*Lähtötiedot!$C$11+Katelaskelma!$F$31-Katelaskelma!$F$46</f>
        <v>2800.5584530333872</v>
      </c>
      <c r="H254" s="1"/>
    </row>
    <row r="255" spans="1:8" x14ac:dyDescent="0.25">
      <c r="A255" s="5"/>
      <c r="C255" s="2">
        <v>254</v>
      </c>
      <c r="D255" s="5">
        <v>738.43140193564363</v>
      </c>
      <c r="E255" s="5"/>
      <c r="F255" s="2">
        <f>D255*Katelaskelma!$D$41</f>
        <v>8815.3461423447679</v>
      </c>
      <c r="G255" s="5">
        <f>D255*Lähtötiedot!$C$11+Katelaskelma!$F$31-Katelaskelma!$F$46</f>
        <v>63725.417159576929</v>
      </c>
      <c r="H255" s="1"/>
    </row>
    <row r="256" spans="1:8" x14ac:dyDescent="0.25">
      <c r="A256" s="5"/>
      <c r="C256" s="2">
        <v>255</v>
      </c>
      <c r="D256" s="5">
        <v>991.99942067936649</v>
      </c>
      <c r="E256" s="5"/>
      <c r="F256" s="2">
        <f>D256*Katelaskelma!$D$41</f>
        <v>11842.424690189751</v>
      </c>
      <c r="G256" s="5">
        <f>D256*Lähtötiedot!$C$11+Katelaskelma!$F$31-Katelaskelma!$F$46</f>
        <v>99732.075821185572</v>
      </c>
      <c r="H256" s="1"/>
    </row>
    <row r="257" spans="1:8" x14ac:dyDescent="0.25">
      <c r="A257" s="5"/>
      <c r="C257" s="2">
        <v>256</v>
      </c>
      <c r="D257" s="5">
        <v>893.28356575381736</v>
      </c>
      <c r="E257" s="5"/>
      <c r="F257" s="2">
        <f>D257*Katelaskelma!$D$41</f>
        <v>10663.961222052942</v>
      </c>
      <c r="G257" s="5">
        <f>D257*Lähtötiedot!$C$11+Katelaskelma!$F$31-Katelaskelma!$F$46</f>
        <v>85714.424421757605</v>
      </c>
      <c r="H257" s="1"/>
    </row>
    <row r="258" spans="1:8" x14ac:dyDescent="0.25">
      <c r="A258" s="5"/>
      <c r="C258" s="2">
        <v>257</v>
      </c>
      <c r="D258" s="5">
        <v>523.17240873298692</v>
      </c>
      <c r="E258" s="5"/>
      <c r="F258" s="2">
        <f>D258*Katelaskelma!$D$41</f>
        <v>6245.5982546466794</v>
      </c>
      <c r="G258" s="5">
        <f>D258*Lähtötiedot!$C$11+Katelaskelma!$F$31-Katelaskelma!$F$46</f>
        <v>33158.640124799684</v>
      </c>
      <c r="H258" s="1"/>
    </row>
    <row r="259" spans="1:8" x14ac:dyDescent="0.25">
      <c r="A259" s="5"/>
      <c r="C259" s="2">
        <v>258</v>
      </c>
      <c r="D259" s="5">
        <v>495.71986330596502</v>
      </c>
      <c r="E259" s="5"/>
      <c r="F259" s="2">
        <f>D259*Katelaskelma!$D$41</f>
        <v>5917.8715493721211</v>
      </c>
      <c r="G259" s="5">
        <f>D259*Lähtötiedot!$C$11+Katelaskelma!$F$31-Katelaskelma!$F$46</f>
        <v>29260.378674162581</v>
      </c>
      <c r="H259" s="1"/>
    </row>
    <row r="260" spans="1:8" x14ac:dyDescent="0.25">
      <c r="A260" s="5"/>
      <c r="C260" s="2">
        <v>259</v>
      </c>
      <c r="D260" s="5">
        <v>600.11281997644323</v>
      </c>
      <c r="E260" s="5"/>
      <c r="F260" s="2">
        <f>D260*Katelaskelma!$D$41</f>
        <v>7164.1078896209174</v>
      </c>
      <c r="G260" s="5">
        <f>D260*Lähtötiedot!$C$11+Katelaskelma!$F$31-Katelaskelma!$F$46</f>
        <v>44084.178521370486</v>
      </c>
      <c r="H260" s="1"/>
    </row>
    <row r="261" spans="1:8" x14ac:dyDescent="0.25">
      <c r="A261" s="5"/>
      <c r="C261" s="2">
        <v>260</v>
      </c>
      <c r="D261" s="5">
        <v>786.24026705027723</v>
      </c>
      <c r="E261" s="5"/>
      <c r="F261" s="2">
        <f>D261*Katelaskelma!$D$41</f>
        <v>9386.085270655698</v>
      </c>
      <c r="G261" s="5">
        <f>D261*Lähtötiedot!$C$11+Katelaskelma!$F$31-Katelaskelma!$F$46</f>
        <v>70514.276005854888</v>
      </c>
      <c r="H261" s="1"/>
    </row>
    <row r="262" spans="1:8" x14ac:dyDescent="0.25">
      <c r="A262" s="5"/>
      <c r="C262" s="2">
        <v>261</v>
      </c>
      <c r="D262" s="5">
        <v>986.5881392920453</v>
      </c>
      <c r="E262" s="5"/>
      <c r="F262" s="2">
        <f>D262*Katelaskelma!$D$41</f>
        <v>11777.825164251632</v>
      </c>
      <c r="G262" s="5">
        <f>D262*Lähtötiedot!$C$11+Katelaskelma!$F$31-Katelaskelma!$F$46</f>
        <v>98963.673864185985</v>
      </c>
      <c r="H262" s="1"/>
    </row>
    <row r="263" spans="1:8" x14ac:dyDescent="0.25">
      <c r="A263" s="5"/>
      <c r="C263" s="2">
        <v>262</v>
      </c>
      <c r="D263" s="5">
        <v>655.28881513087595</v>
      </c>
      <c r="E263" s="5"/>
      <c r="F263" s="2">
        <f>D263*Katelaskelma!$D$41</f>
        <v>7822.7953381228062</v>
      </c>
      <c r="G263" s="5">
        <f>D263*Lähtötiedot!$C$11+Katelaskelma!$F$31-Katelaskelma!$F$46</f>
        <v>51919.169833299908</v>
      </c>
      <c r="H263" s="1"/>
    </row>
    <row r="264" spans="1:8" x14ac:dyDescent="0.25">
      <c r="A264" s="5"/>
      <c r="C264" s="2">
        <v>263</v>
      </c>
      <c r="D264" s="5">
        <v>1347.9923109372555</v>
      </c>
      <c r="E264" s="5"/>
      <c r="F264" s="2">
        <f>D264*Katelaskelma!$D$41</f>
        <v>16092.24470544223</v>
      </c>
      <c r="G264" s="5">
        <f>D264*Lähtötiedot!$C$11+Katelaskelma!$F$31-Katelaskelma!$F$46</f>
        <v>150283.06623780582</v>
      </c>
      <c r="H264" s="1"/>
    </row>
    <row r="265" spans="1:8" x14ac:dyDescent="0.25">
      <c r="A265" s="5"/>
      <c r="C265" s="2">
        <v>264</v>
      </c>
      <c r="D265" s="5">
        <v>811.36568250790219</v>
      </c>
      <c r="E265" s="5"/>
      <c r="F265" s="2">
        <f>D265*Katelaskelma!$D$41</f>
        <v>9686.030849417104</v>
      </c>
      <c r="G265" s="5">
        <f>D265*Lähtötiedot!$C$11+Katelaskelma!$F$31-Katelaskelma!$F$46</f>
        <v>74082.085000837658</v>
      </c>
      <c r="H265" s="1"/>
    </row>
    <row r="266" spans="1:8" x14ac:dyDescent="0.25">
      <c r="A266" s="5"/>
      <c r="C266" s="2">
        <v>265</v>
      </c>
      <c r="D266" s="5">
        <v>692.81816678669998</v>
      </c>
      <c r="E266" s="5"/>
      <c r="F266" s="2">
        <f>D266*Katelaskelma!$D$41</f>
        <v>8270.818302038826</v>
      </c>
      <c r="G266" s="5">
        <f>D266*Lähtötiedot!$C$11+Katelaskelma!$F$31-Katelaskelma!$F$46</f>
        <v>57248.337768426922</v>
      </c>
      <c r="H266" s="1"/>
    </row>
    <row r="267" spans="1:8" x14ac:dyDescent="0.25">
      <c r="A267" s="5"/>
      <c r="C267" s="2">
        <v>266</v>
      </c>
      <c r="D267" s="5">
        <v>1131.6758557969754</v>
      </c>
      <c r="E267" s="5"/>
      <c r="F267" s="2">
        <f>D267*Katelaskelma!$D$41</f>
        <v>13509.872905776057</v>
      </c>
      <c r="G267" s="5">
        <f>D267*Lähtötiedot!$C$11+Katelaskelma!$F$31-Katelaskelma!$F$46</f>
        <v>119566.12960788605</v>
      </c>
      <c r="H267" s="1"/>
    </row>
    <row r="268" spans="1:8" x14ac:dyDescent="0.25">
      <c r="A268" s="5"/>
      <c r="C268" s="2">
        <v>267</v>
      </c>
      <c r="D268" s="5">
        <v>376.06589494155588</v>
      </c>
      <c r="E268" s="5"/>
      <c r="F268" s="2">
        <f>D268*Katelaskelma!$D$41</f>
        <v>4489.4502421626457</v>
      </c>
      <c r="G268" s="5">
        <f>D268*Lähtötiedot!$C$11+Katelaskelma!$F$31-Katelaskelma!$F$46</f>
        <v>12269.515166416473</v>
      </c>
      <c r="H268" s="1"/>
    </row>
    <row r="269" spans="1:8" x14ac:dyDescent="0.25">
      <c r="A269" s="5"/>
      <c r="C269" s="2">
        <v>268</v>
      </c>
      <c r="D269" s="5">
        <v>869.31408307654351</v>
      </c>
      <c r="E269" s="5"/>
      <c r="F269" s="2">
        <f>D269*Katelaskelma!$D$41</f>
        <v>10377.815093788042</v>
      </c>
      <c r="G269" s="5">
        <f>D269*Lähtötiedot!$C$11+Katelaskelma!$F$31-Katelaskelma!$F$46</f>
        <v>82310.757881584723</v>
      </c>
      <c r="H269" s="1"/>
    </row>
    <row r="270" spans="1:8" x14ac:dyDescent="0.25">
      <c r="A270" s="5"/>
      <c r="C270" s="2">
        <v>269</v>
      </c>
      <c r="D270" s="5">
        <v>923.32825970874342</v>
      </c>
      <c r="E270" s="5"/>
      <c r="F270" s="2">
        <f>D270*Katelaskelma!$D$41</f>
        <v>11022.632828188902</v>
      </c>
      <c r="G270" s="5">
        <f>D270*Lähtötiedot!$C$11+Katelaskelma!$F$31-Katelaskelma!$F$46</f>
        <v>89980.770963357121</v>
      </c>
      <c r="H270" s="1"/>
    </row>
    <row r="271" spans="1:8" x14ac:dyDescent="0.25">
      <c r="A271" s="5"/>
      <c r="C271" s="2">
        <v>270</v>
      </c>
      <c r="D271" s="5">
        <v>661.56174696633093</v>
      </c>
      <c r="E271" s="5"/>
      <c r="F271" s="2">
        <f>D271*Katelaskelma!$D$41</f>
        <v>7897.6811911782388</v>
      </c>
      <c r="G271" s="5">
        <f>D271*Lähtötiedot!$C$11+Katelaskelma!$F$31-Katelaskelma!$F$46</f>
        <v>52809.926153934532</v>
      </c>
      <c r="H271" s="1"/>
    </row>
    <row r="272" spans="1:8" x14ac:dyDescent="0.25">
      <c r="A272" s="5"/>
      <c r="C272" s="2">
        <v>271</v>
      </c>
      <c r="D272" s="5">
        <v>532.6657125065833</v>
      </c>
      <c r="E272" s="5"/>
      <c r="F272" s="2">
        <f>D272*Katelaskelma!$D$41</f>
        <v>6358.9286988549193</v>
      </c>
      <c r="G272" s="5">
        <f>D272*Lähtötiedot!$C$11+Katelaskelma!$F$31-Katelaskelma!$F$46</f>
        <v>34506.689260650368</v>
      </c>
      <c r="H272" s="1"/>
    </row>
    <row r="273" spans="1:8" x14ac:dyDescent="0.25">
      <c r="A273" s="5"/>
      <c r="C273" s="2">
        <v>272</v>
      </c>
      <c r="D273" s="5">
        <v>553.82404846895702</v>
      </c>
      <c r="E273" s="5"/>
      <c r="F273" s="2">
        <f>D273*Katelaskelma!$D$41</f>
        <v>6611.5155401179372</v>
      </c>
      <c r="G273" s="5">
        <f>D273*Lähtötiedot!$C$11+Katelaskelma!$F$31-Katelaskelma!$F$46</f>
        <v>37511.172967307444</v>
      </c>
      <c r="H273" s="1"/>
    </row>
    <row r="274" spans="1:8" x14ac:dyDescent="0.25">
      <c r="A274" s="5"/>
      <c r="C274" s="2">
        <v>273</v>
      </c>
      <c r="D274" s="5">
        <v>683.95288309894181</v>
      </c>
      <c r="E274" s="5"/>
      <c r="F274" s="2">
        <f>D274*Katelaskelma!$D$41</f>
        <v>8164.9851208485143</v>
      </c>
      <c r="G274" s="5">
        <f>D274*Lähtötiedot!$C$11+Katelaskelma!$F$31-Katelaskelma!$F$46</f>
        <v>55989.467484765279</v>
      </c>
      <c r="H274" s="1"/>
    </row>
    <row r="275" spans="1:8" x14ac:dyDescent="0.25">
      <c r="A275" s="5"/>
      <c r="C275" s="2">
        <v>274</v>
      </c>
      <c r="D275" s="5">
        <v>888.16393450017245</v>
      </c>
      <c r="E275" s="5"/>
      <c r="F275" s="2">
        <f>D275*Katelaskelma!$D$41</f>
        <v>10602.843396478698</v>
      </c>
      <c r="G275" s="5">
        <f>D275*Lähtötiedot!$C$11+Katelaskelma!$F$31-Katelaskelma!$F$46</f>
        <v>84987.436783740035</v>
      </c>
      <c r="H275" s="1"/>
    </row>
    <row r="276" spans="1:8" x14ac:dyDescent="0.25">
      <c r="A276" s="5"/>
      <c r="C276" s="2">
        <v>275</v>
      </c>
      <c r="D276" s="5">
        <v>647.84363693811952</v>
      </c>
      <c r="E276" s="5"/>
      <c r="F276" s="2">
        <f>D276*Katelaskelma!$D$41</f>
        <v>7733.9152841481991</v>
      </c>
      <c r="G276" s="5">
        <f>D276*Lähtötiedot!$C$11+Katelaskelma!$F$31-Katelaskelma!$F$46</f>
        <v>50861.954529928509</v>
      </c>
      <c r="H276" s="1"/>
    </row>
    <row r="277" spans="1:8" x14ac:dyDescent="0.25">
      <c r="A277" s="5"/>
      <c r="C277" s="2">
        <v>276</v>
      </c>
      <c r="D277" s="5">
        <v>452.59965828354535</v>
      </c>
      <c r="E277" s="5"/>
      <c r="F277" s="2">
        <f>D277*Katelaskelma!$D$41</f>
        <v>5403.1053408859989</v>
      </c>
      <c r="G277" s="5">
        <f>D277*Lähtötiedot!$C$11+Katelaskelma!$F$31-Katelaskelma!$F$46</f>
        <v>23137.309560978974</v>
      </c>
      <c r="H277" s="1"/>
    </row>
    <row r="278" spans="1:8" x14ac:dyDescent="0.25">
      <c r="A278" s="5"/>
      <c r="C278" s="2">
        <v>277</v>
      </c>
      <c r="D278" s="5">
        <v>1013.9542574495147</v>
      </c>
      <c r="E278" s="5"/>
      <c r="F278" s="2">
        <f>D278*Katelaskelma!$D$41</f>
        <v>12104.520106392545</v>
      </c>
      <c r="G278" s="5">
        <f>D278*Lähtötiedot!$C$11+Katelaskelma!$F$31-Katelaskelma!$F$46</f>
        <v>102849.66264254664</v>
      </c>
      <c r="H278" s="1"/>
    </row>
    <row r="279" spans="1:8" x14ac:dyDescent="0.25">
      <c r="A279" s="5"/>
      <c r="C279" s="2">
        <v>278</v>
      </c>
      <c r="D279" s="5">
        <v>1128.3315445102323</v>
      </c>
      <c r="E279" s="5"/>
      <c r="F279" s="2">
        <f>D279*Katelaskelma!$D$41</f>
        <v>13469.948734724945</v>
      </c>
      <c r="G279" s="5">
        <f>D279*Lähtötiedot!$C$11+Katelaskelma!$F$31-Katelaskelma!$F$46</f>
        <v>119091.23740516853</v>
      </c>
      <c r="H279" s="1"/>
    </row>
    <row r="280" spans="1:8" x14ac:dyDescent="0.25">
      <c r="A280" s="5"/>
      <c r="C280" s="2">
        <v>279</v>
      </c>
      <c r="D280" s="5">
        <v>389.45610234396401</v>
      </c>
      <c r="E280" s="5"/>
      <c r="F280" s="2">
        <f>D280*Katelaskelma!$D$41</f>
        <v>4649.3016689310625</v>
      </c>
      <c r="G280" s="5">
        <f>D280*Lähtötiedot!$C$11+Katelaskelma!$F$31-Katelaskelma!$F$46</f>
        <v>14170.924617558427</v>
      </c>
      <c r="H280" s="1"/>
    </row>
    <row r="281" spans="1:8" x14ac:dyDescent="0.25">
      <c r="A281" s="5"/>
      <c r="C281" s="2">
        <v>280</v>
      </c>
      <c r="D281" s="5">
        <v>732.99276728628206</v>
      </c>
      <c r="E281" s="5"/>
      <c r="F281" s="2">
        <f>D281*Katelaskelma!$D$41</f>
        <v>8750.4200749399988</v>
      </c>
      <c r="G281" s="5">
        <f>D281*Lähtötiedot!$C$11+Katelaskelma!$F$31-Katelaskelma!$F$46</f>
        <v>62953.131039367581</v>
      </c>
      <c r="H281" s="1"/>
    </row>
    <row r="282" spans="1:8" x14ac:dyDescent="0.25">
      <c r="A282" s="5"/>
      <c r="C282" s="2">
        <v>281</v>
      </c>
      <c r="D282" s="5">
        <v>952.50183504187703</v>
      </c>
      <c r="E282" s="5"/>
      <c r="F282" s="2">
        <f>D282*Katelaskelma!$D$41</f>
        <v>11370.905076765022</v>
      </c>
      <c r="G282" s="5">
        <f>D282*Lähtötiedot!$C$11+Katelaskelma!$F$31-Katelaskelma!$F$46</f>
        <v>94123.418660662079</v>
      </c>
      <c r="H282" s="1"/>
    </row>
    <row r="283" spans="1:8" x14ac:dyDescent="0.25">
      <c r="A283" s="5"/>
      <c r="C283" s="2">
        <v>282</v>
      </c>
      <c r="D283" s="5">
        <v>434.76742471319841</v>
      </c>
      <c r="E283" s="5"/>
      <c r="F283" s="2">
        <f>D283*Katelaskelma!$D$41</f>
        <v>5190.2252940709677</v>
      </c>
      <c r="G283" s="5">
        <f>D283*Lähtötiedot!$C$11+Katelaskelma!$F$31-Katelaskelma!$F$46</f>
        <v>20605.132393989712</v>
      </c>
      <c r="H283" s="1"/>
    </row>
    <row r="284" spans="1:8" x14ac:dyDescent="0.25">
      <c r="A284" s="5"/>
      <c r="C284" s="2">
        <v>283</v>
      </c>
      <c r="D284" s="5">
        <v>854.86649900544785</v>
      </c>
      <c r="E284" s="5"/>
      <c r="F284" s="2">
        <f>D284*Katelaskelma!$D$41</f>
        <v>10205.340772986563</v>
      </c>
      <c r="G284" s="5">
        <f>D284*Lähtötiedot!$C$11+Katelaskelma!$F$31-Katelaskelma!$F$46</f>
        <v>80259.200943489122</v>
      </c>
      <c r="H284" s="1"/>
    </row>
    <row r="285" spans="1:8" x14ac:dyDescent="0.25">
      <c r="A285" s="5"/>
      <c r="C285" s="2">
        <v>284</v>
      </c>
      <c r="D285" s="5">
        <v>236.10662998687104</v>
      </c>
      <c r="E285" s="5"/>
      <c r="F285" s="2">
        <f>D285*Katelaskelma!$D$41</f>
        <v>2818.6256223407245</v>
      </c>
      <c r="G285" s="5">
        <f>D285*Lähtötiedot!$C$11+Katelaskelma!$F$31-Katelaskelma!$F$46</f>
        <v>-7604.7004571487778</v>
      </c>
      <c r="H285" s="1"/>
    </row>
    <row r="286" spans="1:8" x14ac:dyDescent="0.25">
      <c r="A286" s="5"/>
      <c r="C286" s="2">
        <v>285</v>
      </c>
      <c r="D286" s="5">
        <v>940.12681442862436</v>
      </c>
      <c r="E286" s="5"/>
      <c r="F286" s="2">
        <f>D286*Katelaskelma!$D$41</f>
        <v>11223.172883986497</v>
      </c>
      <c r="G286" s="5">
        <f>D286*Lähtötiedot!$C$11+Katelaskelma!$F$31-Katelaskelma!$F$46</f>
        <v>92366.165733580186</v>
      </c>
      <c r="H286" s="1"/>
    </row>
    <row r="287" spans="1:8" x14ac:dyDescent="0.25">
      <c r="A287" s="5"/>
      <c r="C287" s="2">
        <v>286</v>
      </c>
      <c r="D287" s="5">
        <v>941.62201761735901</v>
      </c>
      <c r="E287" s="5"/>
      <c r="F287" s="2">
        <f>D287*Katelaskelma!$D$41</f>
        <v>11241.022522595153</v>
      </c>
      <c r="G287" s="5">
        <f>D287*Lähtötiedot!$C$11+Katelaskelma!$F$31-Katelaskelma!$F$46</f>
        <v>92578.484586380509</v>
      </c>
      <c r="H287" s="1"/>
    </row>
    <row r="288" spans="1:8" x14ac:dyDescent="0.25">
      <c r="A288" s="5"/>
      <c r="C288" s="2">
        <v>287</v>
      </c>
      <c r="D288" s="5">
        <v>586.7807128393863</v>
      </c>
      <c r="E288" s="5"/>
      <c r="F288" s="2">
        <f>D288*Katelaskelma!$D$41</f>
        <v>7004.9500600487872</v>
      </c>
      <c r="G288" s="5">
        <f>D288*Lähtötiedot!$C$11+Katelaskelma!$F$31-Katelaskelma!$F$46</f>
        <v>42191.019307908398</v>
      </c>
      <c r="H288" s="1"/>
    </row>
    <row r="289" spans="1:8" x14ac:dyDescent="0.25">
      <c r="A289" s="5"/>
      <c r="C289" s="2">
        <v>288</v>
      </c>
      <c r="D289" s="5">
        <v>385.52196061138085</v>
      </c>
      <c r="E289" s="5"/>
      <c r="F289" s="2">
        <f>D289*Katelaskelma!$D$41</f>
        <v>4602.3361403053086</v>
      </c>
      <c r="G289" s="5">
        <f>D289*Lähtötiedot!$C$11+Katelaskelma!$F$31-Katelaskelma!$F$46</f>
        <v>13612.276491531607</v>
      </c>
      <c r="H289" s="1"/>
    </row>
    <row r="290" spans="1:8" x14ac:dyDescent="0.25">
      <c r="A290" s="5"/>
      <c r="C290" s="2">
        <v>289</v>
      </c>
      <c r="D290" s="5">
        <v>418.5040145373676</v>
      </c>
      <c r="E290" s="5"/>
      <c r="F290" s="2">
        <f>D290*Katelaskelma!$D$41</f>
        <v>4996.0737591022862</v>
      </c>
      <c r="G290" s="5">
        <f>D290*Lähtötiedot!$C$11+Katelaskelma!$F$31-Katelaskelma!$F$46</f>
        <v>18295.728149021743</v>
      </c>
      <c r="H290" s="1"/>
    </row>
    <row r="291" spans="1:8" x14ac:dyDescent="0.25">
      <c r="A291" s="5"/>
      <c r="C291" s="2">
        <v>290</v>
      </c>
      <c r="D291" s="5">
        <v>910.71986871285822</v>
      </c>
      <c r="E291" s="5"/>
      <c r="F291" s="2">
        <f>D291*Katelaskelma!$D$41</f>
        <v>10872.114674931332</v>
      </c>
      <c r="G291" s="5">
        <f>D291*Lähtötiedot!$C$11+Katelaskelma!$F$31-Katelaskelma!$F$46</f>
        <v>88190.37944194139</v>
      </c>
      <c r="H291" s="1"/>
    </row>
    <row r="292" spans="1:8" x14ac:dyDescent="0.25">
      <c r="A292" s="5"/>
      <c r="C292" s="2">
        <v>291</v>
      </c>
      <c r="D292" s="5">
        <v>535.41786007801306</v>
      </c>
      <c r="E292" s="5"/>
      <c r="F292" s="2">
        <f>D292*Katelaskelma!$D$41</f>
        <v>6391.7836579118766</v>
      </c>
      <c r="G292" s="5">
        <f>D292*Lähtötiedot!$C$11+Katelaskelma!$F$31-Katelaskelma!$F$46</f>
        <v>34897.494215793384</v>
      </c>
      <c r="H292" s="1"/>
    </row>
    <row r="293" spans="1:8" x14ac:dyDescent="0.25">
      <c r="A293" s="5"/>
      <c r="C293" s="2">
        <v>292</v>
      </c>
      <c r="D293" s="5">
        <v>546.22563230667379</v>
      </c>
      <c r="E293" s="5"/>
      <c r="F293" s="2">
        <f>D293*Katelaskelma!$D$41</f>
        <v>6520.8061412102898</v>
      </c>
      <c r="G293" s="5">
        <f>D293*Lähtötiedot!$C$11+Katelaskelma!$F$31-Katelaskelma!$F$46</f>
        <v>36432.197872263205</v>
      </c>
      <c r="H293" s="1"/>
    </row>
    <row r="294" spans="1:8" x14ac:dyDescent="0.25">
      <c r="A294" s="5"/>
      <c r="C294" s="2">
        <v>293</v>
      </c>
      <c r="D294" s="5">
        <v>580.00073193354933</v>
      </c>
      <c r="E294" s="5"/>
      <c r="F294" s="2">
        <f>D294*Katelaskelma!$D$41</f>
        <v>6924.0110881053242</v>
      </c>
      <c r="G294" s="5">
        <f>D294*Lähtötiedot!$C$11+Katelaskelma!$F$31-Katelaskelma!$F$46</f>
        <v>41228.262019279529</v>
      </c>
      <c r="H294" s="1"/>
    </row>
    <row r="295" spans="1:8" x14ac:dyDescent="0.25">
      <c r="A295" s="5"/>
      <c r="C295" s="2">
        <v>294</v>
      </c>
      <c r="D295" s="5">
        <v>801.52218211842478</v>
      </c>
      <c r="E295" s="5"/>
      <c r="F295" s="2">
        <f>D295*Katelaskelma!$D$41</f>
        <v>9568.5197807408676</v>
      </c>
      <c r="G295" s="5">
        <f>D295*Lähtötiedot!$C$11+Katelaskelma!$F$31-Katelaskelma!$F$46</f>
        <v>72684.307945531851</v>
      </c>
      <c r="H295" s="1"/>
    </row>
    <row r="296" spans="1:8" x14ac:dyDescent="0.25">
      <c r="A296" s="5"/>
      <c r="C296" s="2">
        <v>295</v>
      </c>
      <c r="D296" s="5">
        <v>619.80680050245542</v>
      </c>
      <c r="E296" s="5"/>
      <c r="F296" s="2">
        <f>D296*Katelaskelma!$D$41</f>
        <v>7399.2133507406834</v>
      </c>
      <c r="G296" s="5">
        <f>D296*Lähtötiedot!$C$11+Katelaskelma!$F$31-Katelaskelma!$F$46</f>
        <v>46880.723756064195</v>
      </c>
      <c r="H296" s="1"/>
    </row>
    <row r="297" spans="1:8" x14ac:dyDescent="0.25">
      <c r="A297" s="5"/>
      <c r="C297" s="2">
        <v>296</v>
      </c>
      <c r="D297" s="5">
        <v>567.02547100017432</v>
      </c>
      <c r="E297" s="5"/>
      <c r="F297" s="2">
        <f>D297*Katelaskelma!$D$41</f>
        <v>6769.113265348712</v>
      </c>
      <c r="G297" s="5">
        <f>D297*Lähtötiedot!$C$11+Katelaskelma!$F$31-Katelaskelma!$F$46</f>
        <v>39385.774966740282</v>
      </c>
      <c r="H297" s="1"/>
    </row>
    <row r="298" spans="1:8" x14ac:dyDescent="0.25">
      <c r="A298" s="5"/>
      <c r="C298" s="2">
        <v>297</v>
      </c>
      <c r="D298" s="5">
        <v>603.62273578473628</v>
      </c>
      <c r="E298" s="5"/>
      <c r="F298" s="2">
        <f>D298*Katelaskelma!$D$41</f>
        <v>7206.0090367003686</v>
      </c>
      <c r="G298" s="5">
        <f>D298*Lähtötiedot!$C$11+Katelaskelma!$F$31-Katelaskelma!$F$46</f>
        <v>44582.586566148093</v>
      </c>
      <c r="H298" s="1"/>
    </row>
    <row r="299" spans="1:8" x14ac:dyDescent="0.25">
      <c r="A299" s="5"/>
      <c r="C299" s="2">
        <v>298</v>
      </c>
      <c r="D299" s="5">
        <v>315.70304925619922</v>
      </c>
      <c r="E299" s="5"/>
      <c r="F299" s="2">
        <f>D299*Katelaskelma!$D$41</f>
        <v>3768.842508717777</v>
      </c>
      <c r="G299" s="5">
        <f>D299*Lähtötiedot!$C$11+Katelaskelma!$F$31-Katelaskelma!$F$46</f>
        <v>3697.9910790958238</v>
      </c>
      <c r="H299" s="1"/>
    </row>
    <row r="300" spans="1:8" x14ac:dyDescent="0.25">
      <c r="A300" s="5"/>
      <c r="C300" s="2">
        <v>299</v>
      </c>
      <c r="D300" s="5">
        <v>495.48522404073884</v>
      </c>
      <c r="E300" s="5"/>
      <c r="F300" s="2">
        <f>D300*Katelaskelma!$D$41</f>
        <v>5915.0704410550416</v>
      </c>
      <c r="G300" s="5">
        <f>D300*Lähtötiedot!$C$11+Katelaskelma!$F$31-Katelaskelma!$F$46</f>
        <v>29227.059898500447</v>
      </c>
      <c r="H300" s="1"/>
    </row>
    <row r="301" spans="1:8" x14ac:dyDescent="0.25">
      <c r="A301" s="5"/>
      <c r="C301" s="2">
        <v>300</v>
      </c>
      <c r="D301" s="5">
        <v>531.18186282442525</v>
      </c>
      <c r="E301" s="5"/>
      <c r="F301" s="2">
        <f>D301*Katelaskelma!$D$41</f>
        <v>6341.2145976707834</v>
      </c>
      <c r="G301" s="5">
        <f>D301*Lähtötiedot!$C$11+Katelaskelma!$F$31-Katelaskelma!$F$46</f>
        <v>34295.982605783909</v>
      </c>
      <c r="H301" s="1"/>
    </row>
    <row r="302" spans="1:8" x14ac:dyDescent="0.25">
      <c r="A302" s="5"/>
      <c r="C302" s="2">
        <v>301</v>
      </c>
      <c r="D302" s="5">
        <v>554.68212919415168</v>
      </c>
      <c r="E302" s="5"/>
      <c r="F302" s="2">
        <f>D302*Katelaskelma!$D$41</f>
        <v>6621.7592521145243</v>
      </c>
      <c r="G302" s="5">
        <f>D302*Lähtötiedot!$C$11+Katelaskelma!$F$31-Katelaskelma!$F$46</f>
        <v>37633.020430285076</v>
      </c>
      <c r="H302" s="1"/>
    </row>
    <row r="303" spans="1:8" x14ac:dyDescent="0.25">
      <c r="A303" s="5"/>
      <c r="C303" s="2">
        <v>302</v>
      </c>
      <c r="D303" s="5">
        <v>443.54911423017239</v>
      </c>
      <c r="E303" s="5"/>
      <c r="F303" s="2">
        <f>D303*Katelaskelma!$D$41</f>
        <v>5295.0605334768252</v>
      </c>
      <c r="G303" s="5">
        <f>D303*Lähtötiedot!$C$11+Katelaskelma!$F$31-Katelaskelma!$F$46</f>
        <v>21852.132305400009</v>
      </c>
      <c r="H303" s="1"/>
    </row>
    <row r="304" spans="1:8" x14ac:dyDescent="0.25">
      <c r="A304" s="5"/>
      <c r="C304" s="2">
        <v>303</v>
      </c>
      <c r="D304" s="5">
        <v>524.06637623450274</v>
      </c>
      <c r="E304" s="5"/>
      <c r="F304" s="2">
        <f>D304*Katelaskelma!$D$41</f>
        <v>6256.2703806494628</v>
      </c>
      <c r="G304" s="5">
        <f>D304*Lähtötiedot!$C$11+Katelaskelma!$F$31-Katelaskelma!$F$46</f>
        <v>33285.583510014927</v>
      </c>
      <c r="H304" s="1"/>
    </row>
    <row r="305" spans="1:8" x14ac:dyDescent="0.25">
      <c r="A305" s="5"/>
      <c r="C305" s="2">
        <v>304</v>
      </c>
      <c r="D305" s="5">
        <v>419.65111108581942</v>
      </c>
      <c r="E305" s="5"/>
      <c r="F305" s="2">
        <f>D305*Katelaskelma!$D$41</f>
        <v>5009.7677232359692</v>
      </c>
      <c r="G305" s="5">
        <f>D305*Lähtötiedot!$C$11+Katelaskelma!$F$31-Katelaskelma!$F$46</f>
        <v>18458.615858901903</v>
      </c>
      <c r="H305" s="1"/>
    </row>
    <row r="306" spans="1:8" x14ac:dyDescent="0.25">
      <c r="A306" s="5"/>
      <c r="C306" s="2">
        <v>305</v>
      </c>
      <c r="D306" s="5">
        <v>758.26495528173086</v>
      </c>
      <c r="E306" s="5"/>
      <c r="F306" s="2">
        <f>D306*Katelaskelma!$D$41</f>
        <v>9052.117814730469</v>
      </c>
      <c r="G306" s="5">
        <f>D306*Lähtötiedot!$C$11+Katelaskelma!$F$31-Katelaskelma!$F$46</f>
        <v>66541.781734721328</v>
      </c>
      <c r="H306" s="1"/>
    </row>
    <row r="307" spans="1:8" x14ac:dyDescent="0.25">
      <c r="A307" s="5"/>
      <c r="C307" s="2">
        <v>306</v>
      </c>
      <c r="D307" s="5">
        <v>744.4427044519532</v>
      </c>
      <c r="E307" s="5"/>
      <c r="F307" s="2">
        <f>D307*Katelaskelma!$D$41</f>
        <v>8887.1086815714461</v>
      </c>
      <c r="G307" s="5">
        <f>D307*Lähtötiedot!$C$11+Katelaskelma!$F$31-Katelaskelma!$F$46</f>
        <v>64579.022116892884</v>
      </c>
      <c r="H307" s="1"/>
    </row>
    <row r="308" spans="1:8" x14ac:dyDescent="0.25">
      <c r="A308" s="5"/>
      <c r="C308" s="2">
        <v>307</v>
      </c>
      <c r="D308" s="5">
        <v>778.84593706189139</v>
      </c>
      <c r="E308" s="5"/>
      <c r="F308" s="2">
        <f>D308*Katelaskelma!$D$41</f>
        <v>9297.8122392441455</v>
      </c>
      <c r="G308" s="5">
        <f>D308*Lähtötiedot!$C$11+Katelaskelma!$F$31-Katelaskelma!$F$46</f>
        <v>69464.281147504109</v>
      </c>
      <c r="H308" s="1"/>
    </row>
    <row r="309" spans="1:8" x14ac:dyDescent="0.25">
      <c r="A309" s="5"/>
      <c r="C309" s="2">
        <v>308</v>
      </c>
      <c r="D309" s="5">
        <v>387.71285593453132</v>
      </c>
      <c r="E309" s="5"/>
      <c r="F309" s="2">
        <f>D309*Katelaskelma!$D$41</f>
        <v>4628.4909064550002</v>
      </c>
      <c r="G309" s="5">
        <f>D309*Lähtötiedot!$C$11+Katelaskelma!$F$31-Katelaskelma!$F$46</f>
        <v>13923.383627418982</v>
      </c>
      <c r="H309" s="1"/>
    </row>
    <row r="310" spans="1:8" x14ac:dyDescent="0.25">
      <c r="A310" s="5"/>
      <c r="C310" s="2">
        <v>309</v>
      </c>
      <c r="D310" s="5">
        <v>1119.5567118961419</v>
      </c>
      <c r="E310" s="5"/>
      <c r="F310" s="2">
        <f>D310*Katelaskelma!$D$41</f>
        <v>13365.195352580609</v>
      </c>
      <c r="G310" s="5">
        <f>D310*Lähtötiedot!$C$11+Katelaskelma!$F$31-Katelaskelma!$F$46</f>
        <v>117845.21117396769</v>
      </c>
      <c r="H310" s="1"/>
    </row>
    <row r="311" spans="1:8" x14ac:dyDescent="0.25">
      <c r="A311" s="5"/>
      <c r="C311" s="2">
        <v>310</v>
      </c>
      <c r="D311" s="5">
        <v>997.35046683698079</v>
      </c>
      <c r="E311" s="5"/>
      <c r="F311" s="2">
        <f>D311*Katelaskelma!$D$41</f>
        <v>11906.305131865694</v>
      </c>
      <c r="G311" s="5">
        <f>D311*Lähtötiedot!$C$11+Katelaskelma!$F$31-Katelaskelma!$F$46</f>
        <v>100491.9243755668</v>
      </c>
      <c r="H311" s="1"/>
    </row>
    <row r="312" spans="1:8" x14ac:dyDescent="0.25">
      <c r="A312" s="5"/>
      <c r="C312" s="2">
        <v>311</v>
      </c>
      <c r="D312" s="5">
        <v>643.25649708899414</v>
      </c>
      <c r="E312" s="5"/>
      <c r="F312" s="2">
        <f>D312*Katelaskelma!$D$41</f>
        <v>7679.1543063953768</v>
      </c>
      <c r="G312" s="5">
        <f>D312*Lähtötiedot!$C$11+Katelaskelma!$F$31-Katelaskelma!$F$46</f>
        <v>50210.580671352713</v>
      </c>
      <c r="H312" s="1"/>
    </row>
    <row r="313" spans="1:8" x14ac:dyDescent="0.25">
      <c r="A313" s="5"/>
      <c r="C313" s="2">
        <v>312</v>
      </c>
      <c r="D313" s="5">
        <v>906.76291872261777</v>
      </c>
      <c r="E313" s="5"/>
      <c r="F313" s="2">
        <f>D313*Katelaskelma!$D$41</f>
        <v>10824.876862806223</v>
      </c>
      <c r="G313" s="5">
        <f>D313*Lähtötiedot!$C$11+Katelaskelma!$F$31-Katelaskelma!$F$46</f>
        <v>87628.492543327244</v>
      </c>
      <c r="H313" s="1"/>
    </row>
    <row r="314" spans="1:8" x14ac:dyDescent="0.25">
      <c r="A314" s="5"/>
      <c r="C314" s="2">
        <v>313</v>
      </c>
      <c r="D314" s="5">
        <v>813.15083331196888</v>
      </c>
      <c r="E314" s="5"/>
      <c r="F314" s="2">
        <f>D314*Katelaskelma!$D$41</f>
        <v>9707.3418638361582</v>
      </c>
      <c r="G314" s="5">
        <f>D314*Lähtötiedot!$C$11+Katelaskelma!$F$31-Katelaskelma!$F$46</f>
        <v>74335.576415015123</v>
      </c>
      <c r="H314" s="1"/>
    </row>
    <row r="315" spans="1:8" x14ac:dyDescent="0.25">
      <c r="A315" s="5"/>
      <c r="C315" s="2">
        <v>314</v>
      </c>
      <c r="D315" s="5">
        <v>1059.6126088525059</v>
      </c>
      <c r="E315" s="5"/>
      <c r="F315" s="2">
        <f>D315*Katelaskelma!$D$41</f>
        <v>12649.586541610666</v>
      </c>
      <c r="G315" s="5">
        <f>D315*Lähtötiedot!$C$11+Katelaskelma!$F$31-Katelaskelma!$F$46</f>
        <v>109333.14854177137</v>
      </c>
      <c r="H315" s="1"/>
    </row>
    <row r="316" spans="1:8" x14ac:dyDescent="0.25">
      <c r="A316" s="5"/>
      <c r="C316" s="2">
        <v>315</v>
      </c>
      <c r="D316" s="5">
        <v>1156.3627197773014</v>
      </c>
      <c r="E316" s="5"/>
      <c r="F316" s="2">
        <f>D316*Katelaskelma!$D$41</f>
        <v>13804.583085469259</v>
      </c>
      <c r="G316" s="5">
        <f>D316*Lähtötiedot!$C$11+Katelaskelma!$F$31-Katelaskelma!$F$46</f>
        <v>123071.66429309236</v>
      </c>
      <c r="H316" s="1"/>
    </row>
    <row r="317" spans="1:8" x14ac:dyDescent="0.25">
      <c r="A317" s="5"/>
      <c r="C317" s="2">
        <v>316</v>
      </c>
      <c r="D317" s="5">
        <v>917.88166498178202</v>
      </c>
      <c r="E317" s="5"/>
      <c r="F317" s="2">
        <f>D317*Katelaskelma!$D$41</f>
        <v>10957.61173389446</v>
      </c>
      <c r="G317" s="5">
        <f>D317*Lähtötiedot!$C$11+Katelaskelma!$F$31-Katelaskelma!$F$46</f>
        <v>89207.354512128572</v>
      </c>
      <c r="H317" s="1"/>
    </row>
    <row r="318" spans="1:8" x14ac:dyDescent="0.25">
      <c r="A318" s="5"/>
      <c r="C318" s="2">
        <v>317</v>
      </c>
      <c r="D318" s="5">
        <v>1010.471398214813</v>
      </c>
      <c r="E318" s="5"/>
      <c r="F318" s="2">
        <f>D318*Katelaskelma!$D$41</f>
        <v>12062.941958932299</v>
      </c>
      <c r="G318" s="5">
        <f>D318*Lähtötiedot!$C$11+Katelaskelma!$F$31-Katelaskelma!$F$46</f>
        <v>102355.096631219</v>
      </c>
      <c r="H318" s="1"/>
    </row>
    <row r="319" spans="1:8" x14ac:dyDescent="0.25">
      <c r="A319" s="5"/>
      <c r="C319" s="2">
        <v>318</v>
      </c>
      <c r="D319" s="5">
        <v>655.36999152224212</v>
      </c>
      <c r="E319" s="5"/>
      <c r="F319" s="2">
        <f>D319*Katelaskelma!$D$41</f>
        <v>7823.7644166135142</v>
      </c>
      <c r="G319" s="5">
        <f>D319*Lähtötiedot!$C$11+Katelaskelma!$F$31-Katelaskelma!$F$46</f>
        <v>51930.696880873904</v>
      </c>
      <c r="H319" s="1"/>
    </row>
    <row r="320" spans="1:8" x14ac:dyDescent="0.25">
      <c r="A320" s="5"/>
      <c r="C320" s="2">
        <v>319</v>
      </c>
      <c r="D320" s="5">
        <v>763.82528036349572</v>
      </c>
      <c r="E320" s="5"/>
      <c r="F320" s="2">
        <f>D320*Katelaskelma!$D$41</f>
        <v>9118.4966146179504</v>
      </c>
      <c r="G320" s="5">
        <f>D320*Lähtötiedot!$C$11+Katelaskelma!$F$31-Katelaskelma!$F$46</f>
        <v>67331.347896331921</v>
      </c>
      <c r="H320" s="1"/>
    </row>
    <row r="321" spans="1:8" x14ac:dyDescent="0.25">
      <c r="A321" s="5"/>
      <c r="C321" s="2">
        <v>320</v>
      </c>
      <c r="D321" s="5">
        <v>1083.5004633850128</v>
      </c>
      <c r="E321" s="5"/>
      <c r="F321" s="2">
        <f>D321*Katelaskelma!$D$41</f>
        <v>12934.758198382084</v>
      </c>
      <c r="G321" s="5">
        <f>D321*Lähtötiedot!$C$11+Katelaskelma!$F$31-Katelaskelma!$F$46</f>
        <v>112725.22388538736</v>
      </c>
      <c r="H321" s="1"/>
    </row>
    <row r="322" spans="1:8" x14ac:dyDescent="0.25">
      <c r="A322" s="5"/>
      <c r="C322" s="2">
        <v>321</v>
      </c>
      <c r="D322" s="5">
        <v>843.19656434947478</v>
      </c>
      <c r="E322" s="5"/>
      <c r="F322" s="2">
        <f>D322*Katelaskelma!$D$41</f>
        <v>10066.025850596638</v>
      </c>
      <c r="G322" s="5">
        <f>D322*Lähtötiedot!$C$11+Katelaskelma!$F$31-Katelaskelma!$F$46</f>
        <v>78602.070222340961</v>
      </c>
      <c r="H322" s="1"/>
    </row>
    <row r="323" spans="1:8" x14ac:dyDescent="0.25">
      <c r="A323" s="5"/>
      <c r="C323" s="2">
        <v>322</v>
      </c>
      <c r="D323" s="5">
        <v>793.14148618557761</v>
      </c>
      <c r="E323" s="5"/>
      <c r="F323" s="2">
        <f>D323*Katelaskelma!$D$41</f>
        <v>9468.4715767125308</v>
      </c>
      <c r="G323" s="5">
        <f>D323*Lähtötiedot!$C$11+Katelaskelma!$F$31-Katelaskelma!$F$46</f>
        <v>71494.249123067566</v>
      </c>
      <c r="H323" s="1"/>
    </row>
    <row r="324" spans="1:8" x14ac:dyDescent="0.25">
      <c r="A324" s="5"/>
      <c r="C324" s="2">
        <v>323</v>
      </c>
      <c r="D324" s="5">
        <v>367.39900943470167</v>
      </c>
      <c r="E324" s="5"/>
      <c r="F324" s="2">
        <f>D324*Katelaskelma!$D$41</f>
        <v>4385.9855255773</v>
      </c>
      <c r="G324" s="5">
        <f>D324*Lähtötiedot!$C$11+Katelaskelma!$F$31-Katelaskelma!$F$46</f>
        <v>11038.817424443172</v>
      </c>
      <c r="H324" s="1"/>
    </row>
    <row r="325" spans="1:8" x14ac:dyDescent="0.25">
      <c r="A325" s="5"/>
      <c r="C325" s="2">
        <v>324</v>
      </c>
      <c r="D325" s="5">
        <v>497.67554496556187</v>
      </c>
      <c r="E325" s="5"/>
      <c r="F325" s="2">
        <f>D325*Katelaskelma!$D$41</f>
        <v>5941.218350074786</v>
      </c>
      <c r="G325" s="5">
        <f>D325*Lähtötiedot!$C$11+Katelaskelma!$F$31-Katelaskelma!$F$46</f>
        <v>29538.08546982531</v>
      </c>
      <c r="H325" s="1"/>
    </row>
    <row r="326" spans="1:8" x14ac:dyDescent="0.25">
      <c r="A326" s="5"/>
      <c r="C326" s="2">
        <v>325</v>
      </c>
      <c r="D326" s="5">
        <v>512.36888476814988</v>
      </c>
      <c r="E326" s="5"/>
      <c r="F326" s="2">
        <f>D326*Katelaskelma!$D$41</f>
        <v>6116.6264868460257</v>
      </c>
      <c r="G326" s="5">
        <f>D326*Lähtötiedot!$C$11+Katelaskelma!$F$31-Katelaskelma!$F$46</f>
        <v>31624.539721792826</v>
      </c>
      <c r="H326" s="1"/>
    </row>
    <row r="327" spans="1:8" x14ac:dyDescent="0.25">
      <c r="A327" s="5"/>
      <c r="C327" s="2">
        <v>326</v>
      </c>
      <c r="D327" s="5">
        <v>625.64113065616652</v>
      </c>
      <c r="E327" s="5"/>
      <c r="F327" s="2">
        <f>D327*Katelaskelma!$D$41</f>
        <v>7468.8632053905067</v>
      </c>
      <c r="G327" s="5">
        <f>D327*Lähtötiedot!$C$11+Katelaskelma!$F$31-Katelaskelma!$F$46</f>
        <v>47709.198637891182</v>
      </c>
      <c r="H327" s="1"/>
    </row>
    <row r="328" spans="1:8" x14ac:dyDescent="0.25">
      <c r="A328" s="5"/>
      <c r="C328" s="2">
        <v>327</v>
      </c>
      <c r="D328" s="5">
        <v>827.69816258670448</v>
      </c>
      <c r="E328" s="5"/>
      <c r="F328" s="2">
        <f>D328*Katelaskelma!$D$41</f>
        <v>9881.00693640391</v>
      </c>
      <c r="G328" s="5">
        <f>D328*Lähtötiedot!$C$11+Katelaskelma!$F$31-Katelaskelma!$F$46</f>
        <v>76401.297172027582</v>
      </c>
      <c r="H328" s="1"/>
    </row>
    <row r="329" spans="1:8" x14ac:dyDescent="0.25">
      <c r="A329" s="5"/>
      <c r="C329" s="2">
        <v>328</v>
      </c>
      <c r="D329" s="5">
        <v>742.81697389576016</v>
      </c>
      <c r="E329" s="5"/>
      <c r="F329" s="2">
        <f>D329*Katelaskelma!$D$41</f>
        <v>8867.7008157230248</v>
      </c>
      <c r="G329" s="5">
        <f>D329*Lähtötiedot!$C$11+Katelaskelma!$F$31-Katelaskelma!$F$46</f>
        <v>64348.168377913476</v>
      </c>
      <c r="H329" s="1"/>
    </row>
    <row r="330" spans="1:8" x14ac:dyDescent="0.25">
      <c r="A330" s="5"/>
      <c r="C330" s="2">
        <v>329</v>
      </c>
      <c r="D330" s="5">
        <v>677.20600500431897</v>
      </c>
      <c r="E330" s="5"/>
      <c r="F330" s="2">
        <f>D330*Katelaskelma!$D$41</f>
        <v>8084.4413281165153</v>
      </c>
      <c r="G330" s="5">
        <f>D330*Lähtötiedot!$C$11+Katelaskelma!$F$31-Katelaskelma!$F$46</f>
        <v>55031.410795328818</v>
      </c>
      <c r="H330" s="1"/>
    </row>
    <row r="331" spans="1:8" x14ac:dyDescent="0.25">
      <c r="A331" s="5"/>
      <c r="C331" s="2">
        <v>330</v>
      </c>
      <c r="D331" s="5">
        <v>1127.3421443197301</v>
      </c>
      <c r="E331" s="5"/>
      <c r="F331" s="2">
        <f>D331*Katelaskelma!$D$41</f>
        <v>13458.137339475887</v>
      </c>
      <c r="G331" s="5">
        <f>D331*Lähtötiedot!$C$11+Katelaskelma!$F$31-Katelaskelma!$F$46</f>
        <v>118950.74257811721</v>
      </c>
      <c r="H331" s="1"/>
    </row>
    <row r="332" spans="1:8" x14ac:dyDescent="0.25">
      <c r="A332" s="5"/>
      <c r="C332" s="2">
        <v>331</v>
      </c>
      <c r="D332" s="5">
        <v>839.09360498010051</v>
      </c>
      <c r="E332" s="5"/>
      <c r="F332" s="2">
        <f>D332*Katelaskelma!$D$41</f>
        <v>10017.044987981368</v>
      </c>
      <c r="G332" s="5">
        <f>D332*Lähtötiedot!$C$11+Katelaskelma!$F$31-Katelaskelma!$F$46</f>
        <v>78019.449991889793</v>
      </c>
      <c r="H332" s="1"/>
    </row>
    <row r="333" spans="1:8" x14ac:dyDescent="0.25">
      <c r="A333" s="5"/>
      <c r="C333" s="2">
        <v>332</v>
      </c>
      <c r="D333" s="5">
        <v>577.58198373245546</v>
      </c>
      <c r="E333" s="5"/>
      <c r="F333" s="2">
        <f>D333*Katelaskelma!$D$41</f>
        <v>6895.1362290894094</v>
      </c>
      <c r="G333" s="5">
        <f>D333*Lähtötiedot!$C$11+Katelaskelma!$F$31-Katelaskelma!$F$46</f>
        <v>40884.799774724204</v>
      </c>
      <c r="H333" s="1"/>
    </row>
    <row r="334" spans="1:8" x14ac:dyDescent="0.25">
      <c r="A334" s="5"/>
      <c r="C334" s="2">
        <v>333</v>
      </c>
      <c r="D334" s="5">
        <v>820.97590262906374</v>
      </c>
      <c r="E334" s="5"/>
      <c r="F334" s="2">
        <f>D334*Katelaskelma!$D$41</f>
        <v>9800.7570333931599</v>
      </c>
      <c r="G334" s="5">
        <f>D334*Lähtötiedot!$C$11+Katelaskelma!$F$31-Katelaskelma!$F$46</f>
        <v>75446.736258042598</v>
      </c>
      <c r="H334" s="1"/>
    </row>
    <row r="335" spans="1:8" x14ac:dyDescent="0.25">
      <c r="A335" s="5"/>
      <c r="C335" s="2">
        <v>334</v>
      </c>
      <c r="D335" s="5">
        <v>864.86387954181532</v>
      </c>
      <c r="E335" s="5"/>
      <c r="F335" s="2">
        <f>D335*Katelaskelma!$D$41</f>
        <v>10324.688852867515</v>
      </c>
      <c r="G335" s="5">
        <f>D335*Lähtötiedot!$C$11+Katelaskelma!$F$31-Katelaskelma!$F$46</f>
        <v>81678.828979653306</v>
      </c>
      <c r="H335" s="1"/>
    </row>
    <row r="336" spans="1:8" x14ac:dyDescent="0.25">
      <c r="A336" s="5"/>
      <c r="C336" s="2">
        <v>335</v>
      </c>
      <c r="D336" s="5">
        <v>492.72038436343502</v>
      </c>
      <c r="E336" s="5"/>
      <c r="F336" s="2">
        <f>D336*Katelaskelma!$D$41</f>
        <v>5882.063964462046</v>
      </c>
      <c r="G336" s="5">
        <f>D336*Lähtötiedot!$C$11+Katelaskelma!$F$31-Katelaskelma!$F$46</f>
        <v>28834.452664323297</v>
      </c>
      <c r="H336" s="1"/>
    </row>
    <row r="337" spans="1:8" x14ac:dyDescent="0.25">
      <c r="A337" s="5"/>
      <c r="C337" s="2">
        <v>336</v>
      </c>
      <c r="D337" s="5">
        <v>849.65975039912996</v>
      </c>
      <c r="E337" s="5"/>
      <c r="F337" s="2">
        <f>D337*Katelaskelma!$D$41</f>
        <v>10143.182946111177</v>
      </c>
      <c r="G337" s="5">
        <f>D337*Lähtötiedot!$C$11+Katelaskelma!$F$31-Katelaskelma!$F$46</f>
        <v>79519.842641391995</v>
      </c>
      <c r="H337" s="1"/>
    </row>
    <row r="338" spans="1:8" x14ac:dyDescent="0.25">
      <c r="A338" s="5"/>
      <c r="C338" s="2">
        <v>337</v>
      </c>
      <c r="D338" s="5">
        <v>1156.1178313817638</v>
      </c>
      <c r="E338" s="5"/>
      <c r="F338" s="2">
        <f>D338*Katelaskelma!$D$41</f>
        <v>13801.659623699827</v>
      </c>
      <c r="G338" s="5">
        <f>D338*Lähtötiedot!$C$11+Katelaskelma!$F$31-Katelaskelma!$F$46</f>
        <v>123036.890140926</v>
      </c>
      <c r="H338" s="1"/>
    </row>
    <row r="339" spans="1:8" x14ac:dyDescent="0.25">
      <c r="A339" s="5"/>
      <c r="C339" s="2">
        <v>338</v>
      </c>
      <c r="D339" s="5">
        <v>574.54825085625384</v>
      </c>
      <c r="E339" s="5"/>
      <c r="F339" s="2">
        <f>D339*Katelaskelma!$D$41</f>
        <v>6858.9197229426964</v>
      </c>
      <c r="G339" s="5">
        <f>D339*Lähtötiedot!$C$11+Katelaskelma!$F$31-Katelaskelma!$F$46</f>
        <v>40454.009706303594</v>
      </c>
      <c r="H339" s="1"/>
    </row>
    <row r="340" spans="1:8" x14ac:dyDescent="0.25">
      <c r="A340" s="5"/>
      <c r="C340" s="2">
        <v>339</v>
      </c>
      <c r="D340" s="5">
        <v>356.40689018687027</v>
      </c>
      <c r="E340" s="5"/>
      <c r="F340" s="2">
        <f>D340*Katelaskelma!$D$41</f>
        <v>4254.7623195305869</v>
      </c>
      <c r="G340" s="5">
        <f>D340*Lähtötiedot!$C$11+Katelaskelma!$F$31-Katelaskelma!$F$46</f>
        <v>9477.9364912511082</v>
      </c>
      <c r="H340" s="1"/>
    </row>
    <row r="341" spans="1:8" x14ac:dyDescent="0.25">
      <c r="A341" s="5"/>
      <c r="C341" s="2">
        <v>340</v>
      </c>
      <c r="D341" s="5">
        <v>1149.0924721436302</v>
      </c>
      <c r="E341" s="5"/>
      <c r="F341" s="2">
        <f>D341*Katelaskelma!$D$41</f>
        <v>13717.791341153705</v>
      </c>
      <c r="G341" s="5">
        <f>D341*Lähtötiedot!$C$11+Katelaskelma!$F$31-Katelaskelma!$F$46</f>
        <v>122039.28912911101</v>
      </c>
      <c r="H341" s="1"/>
    </row>
    <row r="342" spans="1:8" x14ac:dyDescent="0.25">
      <c r="A342" s="5"/>
      <c r="C342" s="2">
        <v>341</v>
      </c>
      <c r="D342" s="5">
        <v>402.97476062452762</v>
      </c>
      <c r="E342" s="5"/>
      <c r="F342" s="2">
        <f>D342*Katelaskelma!$D$41</f>
        <v>4810.6865339447395</v>
      </c>
      <c r="G342" s="5">
        <f>D342*Lähtötiedot!$C$11+Katelaskelma!$F$31-Katelaskelma!$F$46</f>
        <v>16090.574093398463</v>
      </c>
      <c r="H342" s="1"/>
    </row>
    <row r="343" spans="1:8" x14ac:dyDescent="0.25">
      <c r="A343" s="5"/>
      <c r="C343" s="2">
        <v>342</v>
      </c>
      <c r="D343" s="5">
        <v>250.6449194676332</v>
      </c>
      <c r="E343" s="5"/>
      <c r="F343" s="2">
        <f>D343*Katelaskelma!$D$41</f>
        <v>2992.1827784348225</v>
      </c>
      <c r="G343" s="5">
        <f>D343*Lähtötiedot!$C$11+Katelaskelma!$F$31-Katelaskelma!$F$46</f>
        <v>-5540.2633508805593</v>
      </c>
      <c r="H343" s="1"/>
    </row>
    <row r="344" spans="1:8" x14ac:dyDescent="0.25">
      <c r="A344" s="5"/>
      <c r="C344" s="2">
        <v>343</v>
      </c>
      <c r="D344" s="5">
        <v>352.98391700243639</v>
      </c>
      <c r="E344" s="5"/>
      <c r="F344" s="2">
        <f>D344*Katelaskelma!$D$41</f>
        <v>4213.8990878510403</v>
      </c>
      <c r="G344" s="5">
        <f>D344*Lähtötiedot!$C$11+Katelaskelma!$F$31-Katelaskelma!$F$46</f>
        <v>8991.8742990614992</v>
      </c>
      <c r="H344" s="1"/>
    </row>
    <row r="345" spans="1:8" x14ac:dyDescent="0.25">
      <c r="A345" s="5"/>
      <c r="C345" s="2">
        <v>344</v>
      </c>
      <c r="D345" s="5">
        <v>441.59412419993788</v>
      </c>
      <c r="E345" s="5"/>
      <c r="F345" s="2">
        <f>D345*Katelaskelma!$D$41</f>
        <v>5271.7219894005912</v>
      </c>
      <c r="G345" s="5">
        <f>D345*Lähtötiedot!$C$11+Katelaskelma!$F$31-Katelaskelma!$F$46</f>
        <v>21574.523721106714</v>
      </c>
      <c r="H345" s="1"/>
    </row>
    <row r="346" spans="1:8" x14ac:dyDescent="0.25">
      <c r="A346" s="5"/>
      <c r="C346" s="2">
        <v>345</v>
      </c>
      <c r="D346" s="5">
        <v>898.83657313147364</v>
      </c>
      <c r="E346" s="5"/>
      <c r="F346" s="2">
        <f>D346*Katelaskelma!$D$41</f>
        <v>10730.25266366379</v>
      </c>
      <c r="G346" s="5">
        <f>D346*Lähtötiedot!$C$11+Katelaskelma!$F$31-Katelaskelma!$F$46</f>
        <v>86502.951469384803</v>
      </c>
      <c r="H346" s="1"/>
    </row>
    <row r="347" spans="1:8" x14ac:dyDescent="0.25">
      <c r="A347" s="5"/>
      <c r="C347" s="2">
        <v>346</v>
      </c>
      <c r="D347" s="5">
        <v>772.62011287854443</v>
      </c>
      <c r="E347" s="5"/>
      <c r="F347" s="2">
        <f>D347*Katelaskelma!$D$41</f>
        <v>9223.4887542816687</v>
      </c>
      <c r="G347" s="5">
        <f>D347*Lähtötiedot!$C$11+Katelaskelma!$F$31-Katelaskelma!$F$46</f>
        <v>68580.214113468857</v>
      </c>
      <c r="H347" s="1"/>
    </row>
    <row r="348" spans="1:8" x14ac:dyDescent="0.25">
      <c r="A348" s="5"/>
      <c r="C348" s="2">
        <v>347</v>
      </c>
      <c r="D348" s="5">
        <v>582.99516588635265</v>
      </c>
      <c r="E348" s="5"/>
      <c r="F348" s="2">
        <f>D348*Katelaskelma!$D$41</f>
        <v>6959.7584462555287</v>
      </c>
      <c r="G348" s="5">
        <f>D348*Lähtötiedot!$C$11+Katelaskelma!$F$31-Katelaskelma!$F$46</f>
        <v>41653.471640577598</v>
      </c>
      <c r="H348" s="1"/>
    </row>
    <row r="349" spans="1:8" x14ac:dyDescent="0.25">
      <c r="A349" s="5"/>
      <c r="C349" s="2">
        <v>348</v>
      </c>
      <c r="D349" s="5">
        <v>504.89183576482702</v>
      </c>
      <c r="E349" s="5"/>
      <c r="F349" s="2">
        <f>D349*Katelaskelma!$D$41</f>
        <v>6027.3659612037136</v>
      </c>
      <c r="G349" s="5">
        <f>D349*Lähtötiedot!$C$11+Katelaskelma!$F$31-Katelaskelma!$F$46</f>
        <v>30562.798763320985</v>
      </c>
      <c r="H349" s="1"/>
    </row>
    <row r="350" spans="1:8" x14ac:dyDescent="0.25">
      <c r="A350" s="5"/>
      <c r="C350" s="2">
        <v>349</v>
      </c>
      <c r="D350" s="5">
        <v>858.77065656602713</v>
      </c>
      <c r="E350" s="5"/>
      <c r="F350" s="2">
        <f>D350*Katelaskelma!$D$41</f>
        <v>10251.948352513304</v>
      </c>
      <c r="G350" s="5">
        <f>D350*Lähtötiedot!$C$11+Katelaskelma!$F$31-Katelaskelma!$F$46</f>
        <v>80813.591317091399</v>
      </c>
      <c r="H350" s="1"/>
    </row>
    <row r="351" spans="1:8" x14ac:dyDescent="0.25">
      <c r="A351" s="5"/>
      <c r="C351" s="2">
        <v>350</v>
      </c>
      <c r="D351" s="5">
        <v>732.92378314296207</v>
      </c>
      <c r="E351" s="5"/>
      <c r="F351" s="2">
        <f>D351*Katelaskelma!$D$41</f>
        <v>8749.5965467150272</v>
      </c>
      <c r="G351" s="5">
        <f>D351*Lähtötiedot!$C$11+Katelaskelma!$F$31-Katelaskelma!$F$46</f>
        <v>62943.335291016148</v>
      </c>
      <c r="H351" s="1"/>
    </row>
    <row r="352" spans="1:8" x14ac:dyDescent="0.25">
      <c r="A352" s="5"/>
      <c r="C352" s="2">
        <v>351</v>
      </c>
      <c r="D352" s="5">
        <v>555.83446758780815</v>
      </c>
      <c r="E352" s="5"/>
      <c r="F352" s="2">
        <f>D352*Katelaskelma!$D$41</f>
        <v>6635.5157930559953</v>
      </c>
      <c r="G352" s="5">
        <f>D352*Lähtötiedot!$C$11+Katelaskelma!$F$31-Katelaskelma!$F$46</f>
        <v>37796.65248218429</v>
      </c>
      <c r="H352" s="1"/>
    </row>
    <row r="353" spans="1:8" x14ac:dyDescent="0.25">
      <c r="A353" s="5"/>
      <c r="C353" s="2">
        <v>352</v>
      </c>
      <c r="D353" s="5">
        <v>1471.2512224146424</v>
      </c>
      <c r="E353" s="5"/>
      <c r="F353" s="2">
        <f>D353*Katelaskelma!$D$41</f>
        <v>17563.701589525954</v>
      </c>
      <c r="G353" s="5">
        <f>D353*Lähtötiedot!$C$11+Katelaskelma!$F$31-Katelaskelma!$F$46</f>
        <v>167785.83166759473</v>
      </c>
      <c r="H353" s="1"/>
    </row>
    <row r="354" spans="1:8" x14ac:dyDescent="0.25">
      <c r="A354" s="5"/>
      <c r="C354" s="2">
        <v>353</v>
      </c>
      <c r="D354" s="5">
        <v>881.11105758695498</v>
      </c>
      <c r="E354" s="5"/>
      <c r="F354" s="2">
        <f>D354*Katelaskelma!$D$41</f>
        <v>10518.646609713687</v>
      </c>
      <c r="G354" s="5">
        <f>D354*Lähtötiedot!$C$11+Katelaskelma!$F$31-Katelaskelma!$F$46</f>
        <v>83985.928262063157</v>
      </c>
      <c r="H354" s="1"/>
    </row>
    <row r="355" spans="1:8" x14ac:dyDescent="0.25">
      <c r="A355" s="5"/>
      <c r="C355" s="2">
        <v>354</v>
      </c>
      <c r="D355" s="5">
        <v>891.09441316637117</v>
      </c>
      <c r="E355" s="5"/>
      <c r="F355" s="2">
        <f>D355*Katelaskelma!$D$41</f>
        <v>10637.827260568962</v>
      </c>
      <c r="G355" s="5">
        <f>D355*Lähtötiedot!$C$11+Katelaskelma!$F$31-Katelaskelma!$F$46</f>
        <v>85403.564754340245</v>
      </c>
      <c r="H355" s="1"/>
    </row>
    <row r="356" spans="1:8" x14ac:dyDescent="0.25">
      <c r="A356" s="5"/>
      <c r="C356" s="2">
        <v>355</v>
      </c>
      <c r="D356" s="5">
        <v>582.08379301684522</v>
      </c>
      <c r="E356" s="5"/>
      <c r="F356" s="2">
        <f>D356*Katelaskelma!$D$41</f>
        <v>6948.8785360995007</v>
      </c>
      <c r="G356" s="5">
        <f>D356*Lähtötiedot!$C$11+Katelaskelma!$F$31-Katelaskelma!$F$46</f>
        <v>41524.056693107559</v>
      </c>
      <c r="H356" s="1"/>
    </row>
    <row r="357" spans="1:8" x14ac:dyDescent="0.25">
      <c r="A357" s="5"/>
      <c r="C357" s="2">
        <v>356</v>
      </c>
      <c r="D357" s="5">
        <v>546.51074120095268</v>
      </c>
      <c r="E357" s="5"/>
      <c r="F357" s="2">
        <f>D357*Katelaskelma!$D$41</f>
        <v>6524.2097526828538</v>
      </c>
      <c r="G357" s="5">
        <f>D357*Lähtötiedot!$C$11+Katelaskelma!$F$31-Katelaskelma!$F$46</f>
        <v>36472.683335250826</v>
      </c>
      <c r="H357" s="1"/>
    </row>
    <row r="358" spans="1:8" x14ac:dyDescent="0.25">
      <c r="A358" s="5"/>
      <c r="C358" s="2">
        <v>357</v>
      </c>
      <c r="D358" s="5">
        <v>269.23044073575358</v>
      </c>
      <c r="E358" s="5"/>
      <c r="F358" s="2">
        <f>D358*Katelaskelma!$D$41</f>
        <v>3214.0555248875398</v>
      </c>
      <c r="G358" s="5">
        <f>D358*Lähtötiedot!$C$11+Katelaskelma!$F$31-Katelaskelma!$F$46</f>
        <v>-2901.119330807458</v>
      </c>
      <c r="H358" s="1"/>
    </row>
    <row r="359" spans="1:8" x14ac:dyDescent="0.25">
      <c r="A359" s="5"/>
      <c r="C359" s="2">
        <v>358</v>
      </c>
      <c r="D359" s="5">
        <v>784.94929595504732</v>
      </c>
      <c r="E359" s="5"/>
      <c r="F359" s="2">
        <f>D359*Katelaskelma!$D$41</f>
        <v>9370.6737415219395</v>
      </c>
      <c r="G359" s="5">
        <f>D359*Lähtötiedot!$C$11+Katelaskelma!$F$31-Katelaskelma!$F$46</f>
        <v>70330.958110332256</v>
      </c>
      <c r="H359" s="1"/>
    </row>
    <row r="360" spans="1:8" x14ac:dyDescent="0.25">
      <c r="A360" s="5"/>
      <c r="C360" s="2">
        <v>359</v>
      </c>
      <c r="D360" s="5">
        <v>441.23741346636081</v>
      </c>
      <c r="E360" s="5"/>
      <c r="F360" s="2">
        <f>D360*Katelaskelma!$D$41</f>
        <v>5267.4635998183921</v>
      </c>
      <c r="G360" s="5">
        <f>D360*Lähtötiedot!$C$11+Katelaskelma!$F$31-Katelaskelma!$F$46</f>
        <v>21523.870796938776</v>
      </c>
      <c r="H360" s="1"/>
    </row>
    <row r="361" spans="1:8" x14ac:dyDescent="0.25">
      <c r="A361" s="5"/>
      <c r="C361" s="2">
        <v>360</v>
      </c>
      <c r="D361" s="5">
        <v>857.25005705202943</v>
      </c>
      <c r="E361" s="5"/>
      <c r="F361" s="2">
        <f>D361*Katelaskelma!$D$41</f>
        <v>10233.795534222216</v>
      </c>
      <c r="G361" s="5">
        <f>D361*Lähtötiedot!$C$11+Katelaskelma!$F$31-Katelaskelma!$F$46</f>
        <v>80597.666186103714</v>
      </c>
      <c r="H361" s="1"/>
    </row>
    <row r="362" spans="1:8" x14ac:dyDescent="0.25">
      <c r="A362" s="5"/>
      <c r="C362" s="2">
        <v>361</v>
      </c>
      <c r="D362" s="5">
        <v>1142.3564320585904</v>
      </c>
      <c r="E362" s="5"/>
      <c r="F362" s="2">
        <f>D362*Katelaskelma!$D$41</f>
        <v>13637.376931876579</v>
      </c>
      <c r="G362" s="5">
        <f>D362*Lähtötiedot!$C$11+Katelaskelma!$F$31-Katelaskelma!$F$46</f>
        <v>121082.77143703538</v>
      </c>
      <c r="H362" s="1"/>
    </row>
    <row r="363" spans="1:8" x14ac:dyDescent="0.25">
      <c r="A363" s="5"/>
      <c r="C363" s="2">
        <v>362</v>
      </c>
      <c r="D363" s="5">
        <v>1221.1794594170622</v>
      </c>
      <c r="E363" s="5"/>
      <c r="F363" s="2">
        <f>D363*Katelaskelma!$D$41</f>
        <v>14578.36111582519</v>
      </c>
      <c r="G363" s="5">
        <f>D363*Lähtötiedot!$C$11+Katelaskelma!$F$31-Katelaskelma!$F$46</f>
        <v>132275.64132193837</v>
      </c>
      <c r="H363" s="1"/>
    </row>
    <row r="364" spans="1:8" x14ac:dyDescent="0.25">
      <c r="A364" s="5"/>
      <c r="C364" s="2">
        <v>363</v>
      </c>
      <c r="D364" s="5">
        <v>913.64298773017504</v>
      </c>
      <c r="E364" s="5"/>
      <c r="F364" s="2">
        <f>D364*Katelaskelma!$D$41</f>
        <v>10907.010680010982</v>
      </c>
      <c r="G364" s="5">
        <f>D364*Lähtötiedot!$C$11+Katelaskelma!$F$31-Katelaskelma!$F$46</f>
        <v>88605.462342400395</v>
      </c>
      <c r="H364" s="1"/>
    </row>
    <row r="365" spans="1:8" x14ac:dyDescent="0.25">
      <c r="A365" s="5"/>
      <c r="C365" s="2">
        <v>364</v>
      </c>
      <c r="D365" s="5">
        <v>905.24219027511185</v>
      </c>
      <c r="E365" s="5"/>
      <c r="F365" s="2">
        <f>D365*Katelaskelma!$D$41</f>
        <v>10806.722505315283</v>
      </c>
      <c r="G365" s="5">
        <f>D365*Lähtötiedot!$C$11+Katelaskelma!$F$31-Katelaskelma!$F$46</f>
        <v>87412.549103781406</v>
      </c>
      <c r="H365" s="1"/>
    </row>
    <row r="366" spans="1:8" x14ac:dyDescent="0.25">
      <c r="A366" s="5"/>
      <c r="C366" s="2">
        <v>365</v>
      </c>
      <c r="D366" s="5">
        <v>863.61116337832095</v>
      </c>
      <c r="E366" s="5"/>
      <c r="F366" s="2">
        <f>D366*Katelaskelma!$D$41</f>
        <v>10309.734008625564</v>
      </c>
      <c r="G366" s="5">
        <f>D366*Lähtötiedot!$C$11+Katelaskelma!$F$31-Katelaskelma!$F$46</f>
        <v>81500.943284437119</v>
      </c>
      <c r="H366" s="1"/>
    </row>
    <row r="367" spans="1:8" x14ac:dyDescent="0.25">
      <c r="A367" s="5"/>
      <c r="C367" s="2">
        <v>366</v>
      </c>
      <c r="D367" s="5">
        <v>994.02439172866548</v>
      </c>
      <c r="E367" s="5"/>
      <c r="F367" s="2">
        <f>D367*Katelaskelma!$D$41</f>
        <v>11866.598663128883</v>
      </c>
      <c r="G367" s="5">
        <f>D367*Lähtötiedot!$C$11+Katelaskelma!$F$31-Katelaskelma!$F$46</f>
        <v>100019.62171018604</v>
      </c>
      <c r="H367" s="1"/>
    </row>
    <row r="368" spans="1:8" x14ac:dyDescent="0.25">
      <c r="A368" s="5"/>
      <c r="C368" s="2">
        <v>367</v>
      </c>
      <c r="D368" s="5">
        <v>1146.3791397804296</v>
      </c>
      <c r="E368" s="5"/>
      <c r="F368" s="2">
        <f>D368*Katelaskelma!$D$41</f>
        <v>13685.399755532968</v>
      </c>
      <c r="G368" s="5">
        <f>D368*Lähtötiedot!$C$11+Katelaskelma!$F$31-Katelaskelma!$F$46</f>
        <v>121653.99593353653</v>
      </c>
      <c r="H368" s="1"/>
    </row>
    <row r="369" spans="1:8" x14ac:dyDescent="0.25">
      <c r="A369" s="5"/>
      <c r="C369" s="2">
        <v>368</v>
      </c>
      <c r="D369" s="5">
        <v>967.08920723166671</v>
      </c>
      <c r="E369" s="5"/>
      <c r="F369" s="2">
        <f>D369*Katelaskelma!$D$41</f>
        <v>11545.048179053376</v>
      </c>
      <c r="G369" s="5">
        <f>D369*Lähtötiedot!$C$11+Katelaskelma!$F$31-Katelaskelma!$F$46</f>
        <v>96194.825511612202</v>
      </c>
      <c r="H369" s="1"/>
    </row>
    <row r="370" spans="1:8" x14ac:dyDescent="0.25">
      <c r="A370" s="5"/>
      <c r="C370" s="2">
        <v>369</v>
      </c>
      <c r="D370" s="5">
        <v>953.02173150270005</v>
      </c>
      <c r="E370" s="5"/>
      <c r="F370" s="2">
        <f>D370*Katelaskelma!$D$41</f>
        <v>11377.111566966172</v>
      </c>
      <c r="G370" s="5">
        <f>D370*Lähtötiedot!$C$11+Katelaskelma!$F$31-Katelaskelma!$F$46</f>
        <v>94197.243958098959</v>
      </c>
      <c r="H370" s="1"/>
    </row>
    <row r="371" spans="1:8" x14ac:dyDescent="0.25">
      <c r="A371" s="5"/>
      <c r="C371" s="2">
        <v>370</v>
      </c>
      <c r="D371" s="5">
        <v>1372.6704148543442</v>
      </c>
      <c r="E371" s="5"/>
      <c r="F371" s="2">
        <f>D371*Katelaskelma!$D$41</f>
        <v>16386.850308069152</v>
      </c>
      <c r="G371" s="5">
        <f>D371*Lähtötiedot!$C$11+Katelaskelma!$F$31-Katelaskelma!$F$46</f>
        <v>153787.35699403242</v>
      </c>
      <c r="H371" s="1"/>
    </row>
    <row r="372" spans="1:8" x14ac:dyDescent="0.25">
      <c r="A372" s="5"/>
      <c r="C372" s="2">
        <v>371</v>
      </c>
      <c r="D372" s="5">
        <v>599.5625475543045</v>
      </c>
      <c r="E372" s="5"/>
      <c r="F372" s="2">
        <f>D372*Katelaskelma!$D$41</f>
        <v>7157.5387731653818</v>
      </c>
      <c r="G372" s="5">
        <f>D372*Lähtötiedot!$C$11+Katelaskelma!$F$31-Katelaskelma!$F$46</f>
        <v>44006.039837426768</v>
      </c>
      <c r="H372" s="1"/>
    </row>
    <row r="373" spans="1:8" x14ac:dyDescent="0.25">
      <c r="A373" s="5"/>
      <c r="C373" s="2">
        <v>372</v>
      </c>
      <c r="D373" s="5">
        <v>707.82793064058637</v>
      </c>
      <c r="E373" s="5"/>
      <c r="F373" s="2">
        <f>D373*Katelaskelma!$D$41</f>
        <v>8450.0038885943595</v>
      </c>
      <c r="G373" s="5">
        <f>D373*Lähtötiedot!$C$11+Katelaskelma!$F$31-Katelaskelma!$F$46</f>
        <v>59379.72423567879</v>
      </c>
      <c r="H373" s="1"/>
    </row>
    <row r="374" spans="1:8" x14ac:dyDescent="0.25">
      <c r="A374" s="5"/>
      <c r="C374" s="2">
        <v>373</v>
      </c>
      <c r="D374" s="5">
        <v>549.40085581272865</v>
      </c>
      <c r="E374" s="5"/>
      <c r="F374" s="2">
        <f>D374*Katelaskelma!$D$41</f>
        <v>6558.7117533115779</v>
      </c>
      <c r="G374" s="5">
        <f>D374*Lähtötiedot!$C$11+Katelaskelma!$F$31-Katelaskelma!$F$46</f>
        <v>36883.079610123008</v>
      </c>
      <c r="H374" s="1"/>
    </row>
    <row r="375" spans="1:8" x14ac:dyDescent="0.25">
      <c r="A375" s="5"/>
      <c r="C375" s="2">
        <v>374</v>
      </c>
      <c r="D375" s="5">
        <v>961.45657067255684</v>
      </c>
      <c r="E375" s="5"/>
      <c r="F375" s="2">
        <f>D375*Katelaskelma!$D$41</f>
        <v>11477.806129443319</v>
      </c>
      <c r="G375" s="5">
        <f>D375*Lähtötiedot!$C$11+Katelaskelma!$F$31-Katelaskelma!$F$46</f>
        <v>95394.991120218619</v>
      </c>
      <c r="H375" s="1"/>
    </row>
    <row r="376" spans="1:8" x14ac:dyDescent="0.25">
      <c r="A376" s="5"/>
      <c r="C376" s="2">
        <v>375</v>
      </c>
      <c r="D376" s="5">
        <v>1137.7027849905273</v>
      </c>
      <c r="E376" s="5"/>
      <c r="F376" s="2">
        <f>D376*Katelaskelma!$D$41</f>
        <v>13581.821995261276</v>
      </c>
      <c r="G376" s="5">
        <f>D376*Lähtötiedot!$C$11+Katelaskelma!$F$31-Katelaskelma!$F$46</f>
        <v>120421.95355337043</v>
      </c>
      <c r="H376" s="1"/>
    </row>
    <row r="377" spans="1:8" x14ac:dyDescent="0.25">
      <c r="A377" s="5"/>
      <c r="C377" s="2">
        <v>376</v>
      </c>
      <c r="D377" s="5">
        <v>423.80317919278497</v>
      </c>
      <c r="E377" s="5"/>
      <c r="F377" s="2">
        <f>D377*Katelaskelma!$D$41</f>
        <v>5059.3348427727969</v>
      </c>
      <c r="G377" s="5">
        <f>D377*Lähtötiedot!$C$11+Katelaskelma!$F$31-Katelaskelma!$F$46</f>
        <v>19048.209530091</v>
      </c>
      <c r="H377" s="1"/>
    </row>
    <row r="378" spans="1:8" x14ac:dyDescent="0.25">
      <c r="A378" s="5"/>
      <c r="C378" s="2">
        <v>377</v>
      </c>
      <c r="D378" s="5">
        <v>950.75986288856598</v>
      </c>
      <c r="E378" s="5"/>
      <c r="F378" s="2">
        <f>D378*Katelaskelma!$D$41</f>
        <v>11350.109526275824</v>
      </c>
      <c r="G378" s="5">
        <f>D378*Lähtötiedot!$C$11+Katelaskelma!$F$31-Katelaskelma!$F$46</f>
        <v>93876.058614891925</v>
      </c>
      <c r="H378" s="1"/>
    </row>
    <row r="379" spans="1:8" x14ac:dyDescent="0.25">
      <c r="A379" s="5"/>
      <c r="C379" s="2">
        <v>378</v>
      </c>
      <c r="D379" s="5">
        <v>585.58151578656839</v>
      </c>
      <c r="E379" s="5"/>
      <c r="F379" s="2">
        <f>D379*Katelaskelma!$D$41</f>
        <v>6990.6341234759939</v>
      </c>
      <c r="G379" s="5">
        <f>D379*Lähtötiedot!$C$11+Katelaskelma!$F$31-Katelaskelma!$F$46</f>
        <v>42020.733326408255</v>
      </c>
      <c r="H379" s="1"/>
    </row>
    <row r="380" spans="1:8" x14ac:dyDescent="0.25">
      <c r="A380" s="5"/>
      <c r="C380" s="2">
        <v>379</v>
      </c>
      <c r="D380" s="5">
        <v>761.05948023625047</v>
      </c>
      <c r="E380" s="5"/>
      <c r="F380" s="2">
        <f>D380*Katelaskelma!$D$41</f>
        <v>9085.4786722358986</v>
      </c>
      <c r="G380" s="5">
        <f>D380*Lähtötiedot!$C$11+Katelaskelma!$F$31-Katelaskelma!$F$46</f>
        <v>66938.604278263112</v>
      </c>
      <c r="H380" s="1"/>
    </row>
    <row r="381" spans="1:8" x14ac:dyDescent="0.25">
      <c r="A381" s="5"/>
      <c r="C381" s="2">
        <v>380</v>
      </c>
      <c r="D381" s="5">
        <v>910.22252208904888</v>
      </c>
      <c r="E381" s="5"/>
      <c r="F381" s="2">
        <f>D381*Katelaskelma!$D$41</f>
        <v>10866.177383220669</v>
      </c>
      <c r="G381" s="5">
        <f>D381*Lähtötiedot!$C$11+Katelaskelma!$F$31-Katelaskelma!$F$46</f>
        <v>88119.756221360469</v>
      </c>
      <c r="H381" s="1"/>
    </row>
    <row r="382" spans="1:8" x14ac:dyDescent="0.25">
      <c r="A382" s="5"/>
      <c r="C382" s="2">
        <v>381</v>
      </c>
      <c r="D382" s="5">
        <v>822.30803968610849</v>
      </c>
      <c r="E382" s="5"/>
      <c r="F382" s="2">
        <f>D382*Katelaskelma!$D$41</f>
        <v>9816.6599991068488</v>
      </c>
      <c r="G382" s="5">
        <f>D382*Lähtötiedot!$C$11+Katelaskelma!$F$31-Katelaskelma!$F$46</f>
        <v>75635.899720142945</v>
      </c>
      <c r="H382" s="1"/>
    </row>
    <row r="383" spans="1:8" x14ac:dyDescent="0.25">
      <c r="A383" s="5"/>
      <c r="C383" s="2">
        <v>382</v>
      </c>
      <c r="D383" s="5">
        <v>895.26406711385403</v>
      </c>
      <c r="E383" s="5"/>
      <c r="F383" s="2">
        <f>D383*Katelaskelma!$D$41</f>
        <v>10687.60431872833</v>
      </c>
      <c r="G383" s="5">
        <f>D383*Lähtötiedot!$C$11+Katelaskelma!$F$31-Katelaskelma!$F$46</f>
        <v>85995.655614882795</v>
      </c>
      <c r="H383" s="1"/>
    </row>
    <row r="384" spans="1:8" x14ac:dyDescent="0.25">
      <c r="A384" s="5"/>
      <c r="C384" s="2">
        <v>383</v>
      </c>
      <c r="D384" s="5">
        <v>627.88183526773787</v>
      </c>
      <c r="E384" s="5"/>
      <c r="F384" s="2">
        <f>D384*Katelaskelma!$D$41</f>
        <v>7495.6125915920848</v>
      </c>
      <c r="G384" s="5">
        <f>D384*Lähtötiedot!$C$11+Katelaskelma!$F$31-Katelaskelma!$F$46</f>
        <v>48027.378692734317</v>
      </c>
      <c r="H384" s="1"/>
    </row>
    <row r="385" spans="1:8" x14ac:dyDescent="0.25">
      <c r="A385" s="5"/>
      <c r="C385" s="2">
        <v>384</v>
      </c>
      <c r="D385" s="5">
        <v>755.63374581067887</v>
      </c>
      <c r="E385" s="5"/>
      <c r="F385" s="2">
        <f>D385*Katelaskelma!$D$41</f>
        <v>9020.7066068653385</v>
      </c>
      <c r="G385" s="5">
        <f>D385*Lähtötiedot!$C$11+Katelaskelma!$F$31-Katelaskelma!$F$46</f>
        <v>66168.149989831931</v>
      </c>
      <c r="H385" s="1"/>
    </row>
    <row r="386" spans="1:8" x14ac:dyDescent="0.25">
      <c r="A386" s="5"/>
      <c r="C386" s="2">
        <v>385</v>
      </c>
      <c r="D386" s="5">
        <v>694.00652603127151</v>
      </c>
      <c r="E386" s="5"/>
      <c r="F386" s="2">
        <f>D386*Katelaskelma!$D$41</f>
        <v>8285.0048575602905</v>
      </c>
      <c r="G386" s="5">
        <f>D386*Lähtötiedot!$C$11+Katelaskelma!$F$31-Katelaskelma!$F$46</f>
        <v>57417.084781156096</v>
      </c>
      <c r="H386" s="1"/>
    </row>
    <row r="387" spans="1:8" x14ac:dyDescent="0.25">
      <c r="A387" s="5"/>
      <c r="C387" s="2">
        <v>386</v>
      </c>
      <c r="D387" s="5">
        <v>1006.7484265206469</v>
      </c>
      <c r="E387" s="5"/>
      <c r="F387" s="2">
        <f>D387*Katelaskelma!$D$41</f>
        <v>12018.49736451744</v>
      </c>
      <c r="G387" s="5">
        <f>D387*Lähtötiedot!$C$11+Katelaskelma!$F$31-Katelaskelma!$F$46</f>
        <v>101826.4346506474</v>
      </c>
      <c r="H387" s="1"/>
    </row>
    <row r="388" spans="1:8" x14ac:dyDescent="0.25">
      <c r="A388" s="5"/>
      <c r="C388" s="2">
        <v>387</v>
      </c>
      <c r="D388" s="5">
        <v>789.89769650216135</v>
      </c>
      <c r="E388" s="5"/>
      <c r="F388" s="2">
        <f>D388*Katelaskelma!$D$41</f>
        <v>9429.7474260367526</v>
      </c>
      <c r="G388" s="5">
        <f>D388*Lähtötiedot!$C$11+Katelaskelma!$F$31-Katelaskelma!$F$46</f>
        <v>71033.630988022458</v>
      </c>
      <c r="H388" s="1"/>
    </row>
    <row r="389" spans="1:8" x14ac:dyDescent="0.25">
      <c r="A389" s="5"/>
      <c r="C389" s="2">
        <v>388</v>
      </c>
      <c r="D389" s="5">
        <v>501.9247655345219</v>
      </c>
      <c r="E389" s="5"/>
      <c r="F389" s="2">
        <f>D389*Katelaskelma!$D$41</f>
        <v>5991.9452693964249</v>
      </c>
      <c r="G389" s="5">
        <f>D389*Lähtötiedot!$C$11+Katelaskelma!$F$31-Katelaskelma!$F$46</f>
        <v>30141.474790617649</v>
      </c>
      <c r="H389" s="1"/>
    </row>
    <row r="390" spans="1:8" x14ac:dyDescent="0.25">
      <c r="A390" s="5"/>
      <c r="C390" s="2">
        <v>389</v>
      </c>
      <c r="D390" s="5">
        <v>1063.2538965900214</v>
      </c>
      <c r="E390" s="5"/>
      <c r="F390" s="2">
        <f>D390*Katelaskelma!$D$41</f>
        <v>12693.0559982534</v>
      </c>
      <c r="G390" s="5">
        <f>D390*Lähtötiedot!$C$11+Katelaskelma!$F$31-Katelaskelma!$F$46</f>
        <v>109850.21140049858</v>
      </c>
      <c r="H390" s="1"/>
    </row>
    <row r="391" spans="1:8" x14ac:dyDescent="0.25">
      <c r="A391" s="5"/>
      <c r="C391" s="2">
        <v>390</v>
      </c>
      <c r="D391" s="5">
        <v>934.89855773039085</v>
      </c>
      <c r="E391" s="5"/>
      <c r="F391" s="2">
        <f>D391*Katelaskelma!$D$41</f>
        <v>11160.758294905983</v>
      </c>
      <c r="G391" s="5">
        <f>D391*Lähtötiedot!$C$11+Katelaskelma!$F$31-Katelaskelma!$F$46</f>
        <v>91623.753282431047</v>
      </c>
      <c r="H391" s="1"/>
    </row>
    <row r="392" spans="1:8" x14ac:dyDescent="0.25">
      <c r="A392" s="5"/>
      <c r="C392" s="2">
        <v>391</v>
      </c>
      <c r="D392" s="5">
        <v>812.98872123220576</v>
      </c>
      <c r="E392" s="5"/>
      <c r="F392" s="2">
        <f>D392*Katelaskelma!$D$41</f>
        <v>9705.4065803511639</v>
      </c>
      <c r="G392" s="5">
        <f>D392*Lähtötiedot!$C$11+Katelaskelma!$F$31-Katelaskelma!$F$46</f>
        <v>74312.556499688741</v>
      </c>
      <c r="H392" s="1"/>
    </row>
    <row r="393" spans="1:8" x14ac:dyDescent="0.25">
      <c r="A393" s="5"/>
      <c r="C393" s="2">
        <v>392</v>
      </c>
      <c r="D393" s="5">
        <v>1223.0042506430711</v>
      </c>
      <c r="E393" s="5"/>
      <c r="F393" s="2">
        <f>D393*Katelaskelma!$D$41</f>
        <v>14600.145355028202</v>
      </c>
      <c r="G393" s="5">
        <f>D393*Lähtötiedot!$C$11+Katelaskelma!$F$31-Katelaskelma!$F$46</f>
        <v>132534.76167603163</v>
      </c>
      <c r="H393" s="1"/>
    </row>
    <row r="394" spans="1:8" x14ac:dyDescent="0.25">
      <c r="A394" s="5"/>
      <c r="C394" s="2">
        <v>393</v>
      </c>
      <c r="D394" s="5">
        <v>772.57902172702529</v>
      </c>
      <c r="E394" s="5"/>
      <c r="F394" s="2">
        <f>D394*Katelaskelma!$D$41</f>
        <v>9222.9982107821925</v>
      </c>
      <c r="G394" s="5">
        <f>D394*Lähtötiedot!$C$11+Katelaskelma!$F$31-Katelaskelma!$F$46</f>
        <v>68574.379169953114</v>
      </c>
      <c r="H394" s="1"/>
    </row>
    <row r="395" spans="1:8" x14ac:dyDescent="0.25">
      <c r="A395" s="5"/>
      <c r="C395" s="2">
        <v>394</v>
      </c>
      <c r="D395" s="5">
        <v>976.01350291258473</v>
      </c>
      <c r="E395" s="5"/>
      <c r="F395" s="2">
        <f>D395*Katelaskelma!$D$41</f>
        <v>11651.58584158737</v>
      </c>
      <c r="G395" s="5">
        <f>D395*Lähtötiedot!$C$11+Katelaskelma!$F$31-Katelaskelma!$F$46</f>
        <v>97462.075498302584</v>
      </c>
      <c r="H395" s="1"/>
    </row>
    <row r="396" spans="1:8" x14ac:dyDescent="0.25">
      <c r="A396" s="5"/>
      <c r="C396" s="2">
        <v>395</v>
      </c>
      <c r="D396" s="5">
        <v>569.31143537393496</v>
      </c>
      <c r="E396" s="5"/>
      <c r="F396" s="2">
        <f>D396*Katelaskelma!$D$41</f>
        <v>6796.4029596533492</v>
      </c>
      <c r="G396" s="5">
        <f>D396*Lähtötiedot!$C$11+Katelaskelma!$F$31-Katelaskelma!$F$46</f>
        <v>39710.381907814299</v>
      </c>
      <c r="H396" s="1"/>
    </row>
    <row r="397" spans="1:8" x14ac:dyDescent="0.25">
      <c r="A397" s="5"/>
      <c r="C397" s="2">
        <v>396</v>
      </c>
      <c r="D397" s="5">
        <v>814.68431493504909</v>
      </c>
      <c r="E397" s="5"/>
      <c r="F397" s="2">
        <f>D397*Katelaskelma!$D$41</f>
        <v>9725.6484679092537</v>
      </c>
      <c r="G397" s="5">
        <f>D397*Lähtötiedot!$C$11+Katelaskelma!$F$31-Katelaskelma!$F$46</f>
        <v>74553.3308054925</v>
      </c>
      <c r="H397" s="1"/>
    </row>
    <row r="398" spans="1:8" x14ac:dyDescent="0.25">
      <c r="A398" s="5"/>
      <c r="C398" s="2">
        <v>397</v>
      </c>
      <c r="D398" s="5">
        <v>1135.0469491701094</v>
      </c>
      <c r="E398" s="5"/>
      <c r="F398" s="2">
        <f>D398*Katelaskelma!$D$41</f>
        <v>13550.116799635993</v>
      </c>
      <c r="G398" s="5">
        <f>D398*Lähtötiedot!$C$11+Katelaskelma!$F$31-Katelaskelma!$F$46</f>
        <v>120044.82486687109</v>
      </c>
      <c r="H398" s="1"/>
    </row>
    <row r="399" spans="1:8" x14ac:dyDescent="0.25">
      <c r="A399" s="5"/>
      <c r="C399" s="2">
        <v>398</v>
      </c>
      <c r="D399" s="5">
        <v>974.21788485279308</v>
      </c>
      <c r="E399" s="5"/>
      <c r="F399" s="2">
        <f>D399*Katelaskelma!$D$41</f>
        <v>11630.149869748935</v>
      </c>
      <c r="G399" s="5">
        <f>D399*Lähtötiedot!$C$11+Katelaskelma!$F$31-Katelaskelma!$F$46</f>
        <v>97207.097733812145</v>
      </c>
      <c r="H399" s="1"/>
    </row>
    <row r="400" spans="1:8" x14ac:dyDescent="0.25">
      <c r="A400" s="5"/>
      <c r="C400" s="2">
        <v>399</v>
      </c>
      <c r="D400" s="5">
        <v>1138.5735930187609</v>
      </c>
      <c r="E400" s="5"/>
      <c r="F400" s="2">
        <f>D400*Katelaskelma!$D$41</f>
        <v>13592.217644975372</v>
      </c>
      <c r="G400" s="5">
        <f>D400*Lähtötiedot!$C$11+Katelaskelma!$F$31-Katelaskelma!$F$46</f>
        <v>120545.6082933796</v>
      </c>
      <c r="H400" s="1"/>
    </row>
    <row r="401" spans="1:8" x14ac:dyDescent="0.25">
      <c r="A401" s="5"/>
      <c r="C401" s="2">
        <v>400</v>
      </c>
      <c r="D401" s="5">
        <v>235.69546561604039</v>
      </c>
      <c r="E401" s="5"/>
      <c r="F401" s="2">
        <f>D401*Katelaskelma!$D$41</f>
        <v>2813.7171687717532</v>
      </c>
      <c r="G401" s="5">
        <f>D401*Lähtötiedot!$C$11+Katelaskelma!$F$31-Katelaskelma!$F$46</f>
        <v>-7663.0857978067361</v>
      </c>
      <c r="H401" s="1"/>
    </row>
    <row r="402" spans="1:8" x14ac:dyDescent="0.25">
      <c r="A402" s="5"/>
      <c r="C402" s="2">
        <v>401</v>
      </c>
      <c r="D402" s="5">
        <v>756.23333590239577</v>
      </c>
      <c r="E402" s="5"/>
      <c r="F402" s="2">
        <f>D402*Katelaskelma!$D$41</f>
        <v>9027.8644744589292</v>
      </c>
      <c r="G402" s="5">
        <f>D402*Lähtötiedot!$C$11+Katelaskelma!$F$31-Katelaskelma!$F$46</f>
        <v>66253.291782855726</v>
      </c>
      <c r="H402" s="1"/>
    </row>
    <row r="403" spans="1:8" x14ac:dyDescent="0.25">
      <c r="A403" s="5"/>
      <c r="C403" s="2">
        <v>402</v>
      </c>
      <c r="D403" s="5">
        <v>1079.9792644091851</v>
      </c>
      <c r="E403" s="5"/>
      <c r="F403" s="2">
        <f>D403*Katelaskelma!$D$41</f>
        <v>12892.72235358103</v>
      </c>
      <c r="G403" s="5">
        <f>D403*Lähtötiedot!$C$11+Katelaskelma!$F$31-Katelaskelma!$F$46</f>
        <v>112225.21363081984</v>
      </c>
      <c r="H403" s="1"/>
    </row>
    <row r="404" spans="1:8" x14ac:dyDescent="0.25">
      <c r="A404" s="5"/>
      <c r="C404" s="2">
        <v>403</v>
      </c>
      <c r="D404" s="5">
        <v>345.00463416527583</v>
      </c>
      <c r="E404" s="5"/>
      <c r="F404" s="2">
        <f>D404*Katelaskelma!$D$41</f>
        <v>4118.6429273019912</v>
      </c>
      <c r="G404" s="5">
        <f>D404*Lähtötiedot!$C$11+Katelaskelma!$F$31-Katelaskelma!$F$46</f>
        <v>7858.8161361847015</v>
      </c>
      <c r="H404" s="1"/>
    </row>
    <row r="405" spans="1:8" x14ac:dyDescent="0.25">
      <c r="A405" s="5"/>
      <c r="C405" s="2">
        <v>404</v>
      </c>
      <c r="D405" s="5">
        <v>308.14343783461646</v>
      </c>
      <c r="E405" s="5"/>
      <c r="F405" s="2">
        <f>D405*Katelaskelma!$D$41</f>
        <v>3678.5963582856707</v>
      </c>
      <c r="G405" s="5">
        <f>D405*Lähtötiedot!$C$11+Katelaskelma!$F$31-Katelaskelma!$F$46</f>
        <v>2624.5262572310749</v>
      </c>
      <c r="H405" s="1"/>
    </row>
    <row r="406" spans="1:8" x14ac:dyDescent="0.25">
      <c r="A406" s="5"/>
      <c r="C406" s="2">
        <v>405</v>
      </c>
      <c r="D406" s="5">
        <v>490.11230123223987</v>
      </c>
      <c r="E406" s="5"/>
      <c r="F406" s="2">
        <f>D406*Katelaskelma!$D$41</f>
        <v>5850.9288373409227</v>
      </c>
      <c r="G406" s="5">
        <f>D406*Lähtötiedot!$C$11+Katelaskelma!$F$31-Katelaskelma!$F$46</f>
        <v>28464.104859693587</v>
      </c>
      <c r="H406" s="1"/>
    </row>
    <row r="407" spans="1:8" x14ac:dyDescent="0.25">
      <c r="A407" s="5"/>
      <c r="C407" s="2">
        <v>406</v>
      </c>
      <c r="D407" s="5">
        <v>943.37387082388591</v>
      </c>
      <c r="E407" s="5"/>
      <c r="F407" s="2">
        <f>D407*Katelaskelma!$D$41</f>
        <v>11261.936032456231</v>
      </c>
      <c r="G407" s="5">
        <f>D407*Lähtötiedot!$C$11+Katelaskelma!$F$31-Katelaskelma!$F$46</f>
        <v>92827.247741707339</v>
      </c>
      <c r="H407" s="1"/>
    </row>
    <row r="408" spans="1:8" x14ac:dyDescent="0.25">
      <c r="A408" s="5"/>
      <c r="C408" s="2">
        <v>407</v>
      </c>
      <c r="D408" s="5">
        <v>794.02946694049047</v>
      </c>
      <c r="E408" s="5"/>
      <c r="F408" s="2">
        <f>D408*Katelaskelma!$D$41</f>
        <v>9479.072233322986</v>
      </c>
      <c r="G408" s="5">
        <f>D408*Lähtötiedot!$C$11+Katelaskelma!$F$31-Katelaskelma!$F$46</f>
        <v>71620.34239026517</v>
      </c>
      <c r="H408" s="1"/>
    </row>
    <row r="409" spans="1:8" x14ac:dyDescent="0.25">
      <c r="A409" s="5"/>
      <c r="C409" s="2">
        <v>408</v>
      </c>
      <c r="D409" s="5">
        <v>287.49289301898926</v>
      </c>
      <c r="E409" s="5"/>
      <c r="F409" s="2">
        <f>D409*Katelaskelma!$D$41</f>
        <v>3432.0714947701531</v>
      </c>
      <c r="G409" s="5">
        <f>D409*Lähtötiedot!$C$11+Katelaskelma!$F$31-Katelaskelma!$F$46</f>
        <v>-307.85110658798658</v>
      </c>
      <c r="H409" s="1"/>
    </row>
    <row r="410" spans="1:8" x14ac:dyDescent="0.25">
      <c r="A410" s="5"/>
      <c r="C410" s="2">
        <v>409</v>
      </c>
      <c r="D410" s="5">
        <v>429.11410649422515</v>
      </c>
      <c r="E410" s="5"/>
      <c r="F410" s="2">
        <f>D410*Katelaskelma!$D$41</f>
        <v>5122.736348147977</v>
      </c>
      <c r="G410" s="5">
        <f>D410*Lähtötiedot!$C$11+Katelaskelma!$F$31-Katelaskelma!$F$46</f>
        <v>19802.361206895497</v>
      </c>
      <c r="H410" s="1"/>
    </row>
    <row r="411" spans="1:8" x14ac:dyDescent="0.25">
      <c r="A411" s="5"/>
      <c r="C411" s="2">
        <v>410</v>
      </c>
      <c r="D411" s="5">
        <v>590.87535163032567</v>
      </c>
      <c r="E411" s="5"/>
      <c r="F411" s="2">
        <f>D411*Katelaskelma!$D$41</f>
        <v>7053.8315921388175</v>
      </c>
      <c r="G411" s="5">
        <f>D411*Lähtötiedot!$C$11+Katelaskelma!$F$31-Katelaskelma!$F$46</f>
        <v>42772.45801622179</v>
      </c>
      <c r="H411" s="1"/>
    </row>
    <row r="412" spans="1:8" x14ac:dyDescent="0.25">
      <c r="A412" s="5"/>
      <c r="C412" s="2">
        <v>411</v>
      </c>
      <c r="D412" s="5">
        <v>199.99480182301824</v>
      </c>
      <c r="E412" s="5"/>
      <c r="F412" s="2">
        <f>D412*Katelaskelma!$D$41</f>
        <v>2387.5249618558378</v>
      </c>
      <c r="G412" s="5">
        <f>D412*Lähtötiedot!$C$11+Katelaskelma!$F$31-Katelaskelma!$F$46</f>
        <v>-12732.580056415871</v>
      </c>
      <c r="H412" s="1"/>
    </row>
    <row r="413" spans="1:8" x14ac:dyDescent="0.25">
      <c r="A413" s="5"/>
      <c r="C413" s="2">
        <v>412</v>
      </c>
      <c r="D413" s="5">
        <v>940.13790943988829</v>
      </c>
      <c r="E413" s="5"/>
      <c r="F413" s="2">
        <f>D413*Katelaskelma!$D$41</f>
        <v>11223.305335510753</v>
      </c>
      <c r="G413" s="5">
        <f>D413*Lähtötiedot!$C$11+Katelaskelma!$F$31-Katelaskelma!$F$46</f>
        <v>92367.741225179692</v>
      </c>
      <c r="H413" s="1"/>
    </row>
    <row r="414" spans="1:8" x14ac:dyDescent="0.25">
      <c r="A414" s="5"/>
      <c r="C414" s="2">
        <v>413</v>
      </c>
      <c r="D414" s="5">
        <v>509.13097938776474</v>
      </c>
      <c r="E414" s="5"/>
      <c r="F414" s="2">
        <f>D414*Katelaskelma!$D$41</f>
        <v>6077.9725825978649</v>
      </c>
      <c r="G414" s="5">
        <f>D414*Lähtötiedot!$C$11+Katelaskelma!$F$31-Katelaskelma!$F$46</f>
        <v>31164.757157778135</v>
      </c>
      <c r="H414" s="1"/>
    </row>
    <row r="415" spans="1:8" x14ac:dyDescent="0.25">
      <c r="A415" s="5"/>
      <c r="C415" s="2">
        <v>414</v>
      </c>
      <c r="D415" s="5">
        <v>661.25326525357218</v>
      </c>
      <c r="E415" s="5"/>
      <c r="F415" s="2">
        <f>D415*Katelaskelma!$D$41</f>
        <v>7893.9985565158677</v>
      </c>
      <c r="G415" s="5">
        <f>D415*Lähtötiedot!$C$11+Katelaskelma!$F$31-Katelaskelma!$F$46</f>
        <v>52766.121750722785</v>
      </c>
      <c r="H415" s="1"/>
    </row>
    <row r="416" spans="1:8" x14ac:dyDescent="0.25">
      <c r="A416" s="5"/>
      <c r="C416" s="2">
        <v>415</v>
      </c>
      <c r="D416" s="5">
        <v>1185.0235774935893</v>
      </c>
      <c r="E416" s="5"/>
      <c r="F416" s="2">
        <f>D416*Katelaskelma!$D$41</f>
        <v>14146.73454441763</v>
      </c>
      <c r="G416" s="5">
        <f>D416*Lähtötiedot!$C$11+Katelaskelma!$F$31-Katelaskelma!$F$46</f>
        <v>127141.50608880521</v>
      </c>
      <c r="H416" s="1"/>
    </row>
    <row r="417" spans="1:8" x14ac:dyDescent="0.25">
      <c r="A417" s="5"/>
      <c r="C417" s="2">
        <v>416</v>
      </c>
      <c r="D417" s="5">
        <v>1062.0402991350695</v>
      </c>
      <c r="E417" s="5"/>
      <c r="F417" s="2">
        <f>D417*Katelaskelma!$D$41</f>
        <v>12678.568150614707</v>
      </c>
      <c r="G417" s="5">
        <f>D417*Lähtötiedot!$C$11+Katelaskelma!$F$31-Katelaskelma!$F$46</f>
        <v>109677.88056189541</v>
      </c>
      <c r="H417" s="1"/>
    </row>
    <row r="418" spans="1:8" x14ac:dyDescent="0.25">
      <c r="A418" s="5"/>
      <c r="C418" s="2">
        <v>417</v>
      </c>
      <c r="D418" s="5">
        <v>1326.7274894692039</v>
      </c>
      <c r="E418" s="5"/>
      <c r="F418" s="2">
        <f>D418*Katelaskelma!$D$41</f>
        <v>15838.386647124747</v>
      </c>
      <c r="G418" s="5">
        <f>D418*Lähtötiedot!$C$11+Katelaskelma!$F$31-Katelaskelma!$F$46</f>
        <v>147263.46158934248</v>
      </c>
      <c r="H418" s="1"/>
    </row>
    <row r="419" spans="1:8" x14ac:dyDescent="0.25">
      <c r="A419" s="5"/>
      <c r="C419" s="2">
        <v>418</v>
      </c>
      <c r="D419" s="5">
        <v>570.93911237194084</v>
      </c>
      <c r="E419" s="5"/>
      <c r="F419" s="2">
        <f>D419*Katelaskelma!$D$41</f>
        <v>6815.8340619977826</v>
      </c>
      <c r="G419" s="5">
        <f>D419*Lähtötiedot!$C$11+Katelaskelma!$F$31-Katelaskelma!$F$46</f>
        <v>39941.512041531125</v>
      </c>
      <c r="H419" s="1"/>
    </row>
    <row r="420" spans="1:8" x14ac:dyDescent="0.25">
      <c r="A420" s="5"/>
      <c r="C420" s="2">
        <v>419</v>
      </c>
      <c r="D420" s="5">
        <v>645.32844934017498</v>
      </c>
      <c r="E420" s="5"/>
      <c r="F420" s="2">
        <f>D420*Katelaskelma!$D$41</f>
        <v>7703.8891378728731</v>
      </c>
      <c r="G420" s="5">
        <f>D420*Lähtötiedot!$C$11+Katelaskelma!$F$31-Katelaskelma!$F$46</f>
        <v>50504.797891020396</v>
      </c>
      <c r="H420" s="1"/>
    </row>
    <row r="421" spans="1:8" x14ac:dyDescent="0.25">
      <c r="A421" s="5"/>
      <c r="C421" s="2">
        <v>420</v>
      </c>
      <c r="D421" s="5">
        <v>1017.8453563355154</v>
      </c>
      <c r="E421" s="5"/>
      <c r="F421" s="2">
        <f>D421*Katelaskelma!$D$41</f>
        <v>12150.971792309849</v>
      </c>
      <c r="G421" s="5">
        <f>D421*Lähtötiedot!$C$11+Katelaskelma!$F$31-Katelaskelma!$F$46</f>
        <v>103402.19868435874</v>
      </c>
      <c r="H421" s="1"/>
    </row>
    <row r="422" spans="1:8" x14ac:dyDescent="0.25">
      <c r="A422" s="5"/>
      <c r="C422" s="2">
        <v>421</v>
      </c>
      <c r="D422" s="5">
        <v>285.92206037444686</v>
      </c>
      <c r="E422" s="5"/>
      <c r="F422" s="2">
        <f>D422*Katelaskelma!$D$41</f>
        <v>3413.3189966274172</v>
      </c>
      <c r="G422" s="5">
        <f>D422*Lähtötiedot!$C$11+Katelaskelma!$F$31-Katelaskelma!$F$46</f>
        <v>-530.90934211300919</v>
      </c>
      <c r="H422" s="1"/>
    </row>
    <row r="423" spans="1:8" x14ac:dyDescent="0.25">
      <c r="A423" s="5"/>
      <c r="C423" s="2">
        <v>422</v>
      </c>
      <c r="D423" s="5">
        <v>444.87925555819885</v>
      </c>
      <c r="E423" s="5"/>
      <c r="F423" s="2">
        <f>D423*Katelaskelma!$D$41</f>
        <v>5310.9396743070429</v>
      </c>
      <c r="G423" s="5">
        <f>D423*Lähtötiedot!$C$11+Katelaskelma!$F$31-Katelaskelma!$F$46</f>
        <v>22041.012373979771</v>
      </c>
      <c r="H423" s="1"/>
    </row>
    <row r="424" spans="1:8" x14ac:dyDescent="0.25">
      <c r="A424" s="5"/>
      <c r="C424" s="2">
        <v>423</v>
      </c>
      <c r="D424" s="5">
        <v>585.30551970616602</v>
      </c>
      <c r="E424" s="5"/>
      <c r="F424" s="2">
        <f>D424*Katelaskelma!$D$41</f>
        <v>6987.3393001839459</v>
      </c>
      <c r="G424" s="5">
        <f>D424*Lähtötiedot!$C$11+Katelaskelma!$F$31-Katelaskelma!$F$46</f>
        <v>41981.541882991121</v>
      </c>
      <c r="H424" s="1"/>
    </row>
    <row r="425" spans="1:8" x14ac:dyDescent="0.25">
      <c r="A425" s="5"/>
      <c r="C425" s="2">
        <v>424</v>
      </c>
      <c r="D425" s="5">
        <v>355.66743076487347</v>
      </c>
      <c r="E425" s="5"/>
      <c r="F425" s="2">
        <f>D425*Katelaskelma!$D$41</f>
        <v>4245.934700951484</v>
      </c>
      <c r="G425" s="5">
        <f>D425*Lähtötiedot!$C$11+Katelaskelma!$F$31-Katelaskelma!$F$46</f>
        <v>9372.9332533275592</v>
      </c>
      <c r="H425" s="1"/>
    </row>
    <row r="426" spans="1:8" x14ac:dyDescent="0.25">
      <c r="A426" s="5"/>
      <c r="C426" s="2">
        <v>425</v>
      </c>
      <c r="D426" s="5">
        <v>451.78004625549084</v>
      </c>
      <c r="E426" s="5"/>
      <c r="F426" s="2">
        <f>D426*Katelaskelma!$D$41</f>
        <v>5393.3208656987435</v>
      </c>
      <c r="G426" s="5">
        <f>D426*Lähtötiedot!$C$11+Katelaskelma!$F$31-Katelaskelma!$F$46</f>
        <v>23020.924652995236</v>
      </c>
      <c r="H426" s="1"/>
    </row>
    <row r="427" spans="1:8" x14ac:dyDescent="0.25">
      <c r="A427" s="5"/>
      <c r="C427" s="2">
        <v>426</v>
      </c>
      <c r="D427" s="5">
        <v>863.53091147021155</v>
      </c>
      <c r="E427" s="5"/>
      <c r="F427" s="2">
        <f>D427*Katelaskelma!$D$41</f>
        <v>10308.775966555964</v>
      </c>
      <c r="G427" s="5">
        <f>D427*Lähtötiedot!$C$11+Katelaskelma!$F$31-Katelaskelma!$F$46</f>
        <v>81489.547513485566</v>
      </c>
      <c r="H427" s="1"/>
    </row>
    <row r="428" spans="1:8" x14ac:dyDescent="0.25">
      <c r="A428" s="5"/>
      <c r="C428" s="2">
        <v>427</v>
      </c>
      <c r="D428" s="5">
        <v>1238.8136515817698</v>
      </c>
      <c r="E428" s="5"/>
      <c r="F428" s="2">
        <f>D428*Katelaskelma!$D$41</f>
        <v>14788.876957195205</v>
      </c>
      <c r="G428" s="5">
        <f>D428*Lähtötiedot!$C$11+Katelaskelma!$F$31-Katelaskelma!$F$46</f>
        <v>134779.69660932684</v>
      </c>
      <c r="H428" s="1"/>
    </row>
    <row r="429" spans="1:8" x14ac:dyDescent="0.25">
      <c r="A429" s="5"/>
      <c r="C429" s="2">
        <v>428</v>
      </c>
      <c r="D429" s="5">
        <v>670.2654519500868</v>
      </c>
      <c r="E429" s="5"/>
      <c r="F429" s="2">
        <f>D429*Katelaskelma!$D$41</f>
        <v>8001.5854562887662</v>
      </c>
      <c r="G429" s="5">
        <f>D429*Lähtötiedot!$C$11+Katelaskelma!$F$31-Katelaskelma!$F$46</f>
        <v>54045.85226162785</v>
      </c>
      <c r="H429" s="1"/>
    </row>
    <row r="430" spans="1:8" x14ac:dyDescent="0.25">
      <c r="A430" s="5"/>
      <c r="C430" s="2">
        <v>429</v>
      </c>
      <c r="D430" s="5">
        <v>855.40072016057479</v>
      </c>
      <c r="E430" s="5"/>
      <c r="F430" s="2">
        <f>D430*Katelaskelma!$D$41</f>
        <v>10211.71827045845</v>
      </c>
      <c r="G430" s="5">
        <f>D430*Lähtötiedot!$C$11+Katelaskelma!$F$31-Katelaskelma!$F$46</f>
        <v>80335.060347517167</v>
      </c>
      <c r="H430" s="1"/>
    </row>
    <row r="431" spans="1:8" x14ac:dyDescent="0.25">
      <c r="A431" s="5"/>
      <c r="C431" s="2">
        <v>430</v>
      </c>
      <c r="D431" s="5">
        <v>332.82447593859735</v>
      </c>
      <c r="E431" s="5"/>
      <c r="F431" s="2">
        <f>D431*Katelaskelma!$D$41</f>
        <v>3973.2369890452414</v>
      </c>
      <c r="G431" s="5">
        <f>D431*Lähtötiedot!$C$11+Katelaskelma!$F$31-Katelaskelma!$F$46</f>
        <v>6129.2336679963628</v>
      </c>
      <c r="H431" s="1"/>
    </row>
    <row r="432" spans="1:8" x14ac:dyDescent="0.25">
      <c r="A432" s="5"/>
      <c r="C432" s="2">
        <v>431</v>
      </c>
      <c r="D432" s="5">
        <v>748.95360361962389</v>
      </c>
      <c r="E432" s="5"/>
      <c r="F432" s="2">
        <f>D432*Katelaskelma!$D$41</f>
        <v>8940.9595030180899</v>
      </c>
      <c r="G432" s="5">
        <f>D432*Lähtötiedot!$C$11+Katelaskelma!$F$31-Katelaskelma!$F$46</f>
        <v>65219.569798702141</v>
      </c>
      <c r="H432" s="1"/>
    </row>
    <row r="433" spans="1:8" x14ac:dyDescent="0.25">
      <c r="A433" s="5"/>
      <c r="C433" s="2">
        <v>432</v>
      </c>
      <c r="D433" s="5">
        <v>992.00292094577867</v>
      </c>
      <c r="E433" s="5"/>
      <c r="F433" s="2">
        <f>D433*Katelaskelma!$D$41</f>
        <v>11842.466476142967</v>
      </c>
      <c r="G433" s="5">
        <f>D433*Lähtötiedot!$C$11+Katelaskelma!$F$31-Katelaskelma!$F$46</f>
        <v>99732.572859016102</v>
      </c>
      <c r="H433" s="1"/>
    </row>
    <row r="434" spans="1:8" x14ac:dyDescent="0.25">
      <c r="A434" s="5"/>
      <c r="C434" s="2">
        <v>433</v>
      </c>
      <c r="D434" s="5">
        <v>719.60945150709244</v>
      </c>
      <c r="E434" s="5"/>
      <c r="F434" s="2">
        <f>D434*Katelaskelma!$D$41</f>
        <v>8590.6509199222073</v>
      </c>
      <c r="G434" s="5">
        <f>D434*Lähtötiedot!$C$11+Katelaskelma!$F$31-Katelaskelma!$F$46</f>
        <v>61052.700198722654</v>
      </c>
      <c r="H434" s="1"/>
    </row>
    <row r="435" spans="1:8" x14ac:dyDescent="0.25">
      <c r="A435" s="5"/>
      <c r="C435" s="2">
        <v>434</v>
      </c>
      <c r="D435" s="5">
        <v>674.7349571855882</v>
      </c>
      <c r="E435" s="5"/>
      <c r="F435" s="2">
        <f>D435*Katelaskelma!$D$41</f>
        <v>8054.9421196601879</v>
      </c>
      <c r="G435" s="5">
        <f>D435*Lähtötiedot!$C$11+Katelaskelma!$F$31-Katelaskelma!$F$46</f>
        <v>54680.52200506907</v>
      </c>
      <c r="H435" s="1"/>
    </row>
    <row r="436" spans="1:8" x14ac:dyDescent="0.25">
      <c r="A436" s="5"/>
      <c r="C436" s="2">
        <v>435</v>
      </c>
      <c r="D436" s="5">
        <v>1186.377616273687</v>
      </c>
      <c r="E436" s="5"/>
      <c r="F436" s="2">
        <f>D436*Katelaskelma!$D$41</f>
        <v>14162.898971479413</v>
      </c>
      <c r="G436" s="5">
        <f>D436*Lähtötiedot!$C$11+Katelaskelma!$F$31-Katelaskelma!$F$46</f>
        <v>127333.77959557908</v>
      </c>
      <c r="H436" s="1"/>
    </row>
    <row r="437" spans="1:8" x14ac:dyDescent="0.25">
      <c r="A437" s="5"/>
      <c r="C437" s="2">
        <v>436</v>
      </c>
      <c r="D437" s="5">
        <v>159.12403089951914</v>
      </c>
      <c r="E437" s="5"/>
      <c r="F437" s="2">
        <f>D437*Katelaskelma!$D$41</f>
        <v>1899.6123516246103</v>
      </c>
      <c r="G437" s="5">
        <f>D437*Lähtötiedot!$C$11+Katelaskelma!$F$31-Katelaskelma!$F$46</f>
        <v>-18536.229527552743</v>
      </c>
      <c r="H437" s="1"/>
    </row>
    <row r="438" spans="1:8" x14ac:dyDescent="0.25">
      <c r="A438" s="5"/>
      <c r="C438" s="2">
        <v>437</v>
      </c>
      <c r="D438" s="5">
        <v>416.88875101327341</v>
      </c>
      <c r="E438" s="5"/>
      <c r="F438" s="2">
        <f>D438*Katelaskelma!$D$41</f>
        <v>4976.7908480036122</v>
      </c>
      <c r="G438" s="5">
        <f>D438*Lähtötiedot!$C$11+Katelaskelma!$F$31-Katelaskelma!$F$46</f>
        <v>18066.360728600353</v>
      </c>
      <c r="H438" s="1"/>
    </row>
    <row r="439" spans="1:8" x14ac:dyDescent="0.25">
      <c r="A439" s="5"/>
      <c r="C439" s="2">
        <v>438</v>
      </c>
      <c r="D439" s="5">
        <v>1083.002439349669</v>
      </c>
      <c r="E439" s="5"/>
      <c r="F439" s="2">
        <f>D439*Katelaskelma!$D$41</f>
        <v>12928.812819776495</v>
      </c>
      <c r="G439" s="5">
        <f>D439*Lähtötiedot!$C$11+Katelaskelma!$F$31-Katelaskelma!$F$46</f>
        <v>112654.50447236854</v>
      </c>
      <c r="H439" s="1"/>
    </row>
    <row r="440" spans="1:8" x14ac:dyDescent="0.25">
      <c r="A440" s="5"/>
      <c r="C440" s="2">
        <v>439</v>
      </c>
      <c r="D440" s="5">
        <v>889.87322616870802</v>
      </c>
      <c r="E440" s="5"/>
      <c r="F440" s="2">
        <f>D440*Katelaskelma!$D$41</f>
        <v>10623.248809462044</v>
      </c>
      <c r="G440" s="5">
        <f>D440*Lähtötiedot!$C$11+Katelaskelma!$F$31-Katelaskelma!$F$46</f>
        <v>85230.156200672063</v>
      </c>
      <c r="H440" s="1"/>
    </row>
    <row r="441" spans="1:8" x14ac:dyDescent="0.25">
      <c r="A441" s="5"/>
      <c r="C441" s="2">
        <v>440</v>
      </c>
      <c r="D441" s="5">
        <v>441.41230095530756</v>
      </c>
      <c r="E441" s="5"/>
      <c r="F441" s="2">
        <f>D441*Katelaskelma!$D$41</f>
        <v>5269.5513953089276</v>
      </c>
      <c r="G441" s="5">
        <f>D441*Lähtötiedot!$C$11+Katelaskelma!$F$31-Katelaskelma!$F$46</f>
        <v>21548.70482036921</v>
      </c>
      <c r="H441" s="1"/>
    </row>
    <row r="442" spans="1:8" x14ac:dyDescent="0.25">
      <c r="A442" s="5"/>
      <c r="C442" s="2">
        <v>441</v>
      </c>
      <c r="D442" s="5">
        <v>50.554770970203492</v>
      </c>
      <c r="E442" s="5"/>
      <c r="F442" s="2">
        <f>D442*Katelaskelma!$D$41</f>
        <v>603.51957416912092</v>
      </c>
      <c r="G442" s="5">
        <f>D442*Lähtötiedot!$C$11+Katelaskelma!$F$31-Katelaskelma!$F$46</f>
        <v>-33953.064437515568</v>
      </c>
      <c r="H442" s="1"/>
    </row>
    <row r="443" spans="1:8" x14ac:dyDescent="0.25">
      <c r="A443" s="5"/>
      <c r="C443" s="2">
        <v>442</v>
      </c>
      <c r="D443" s="5">
        <v>852.11545945725788</v>
      </c>
      <c r="E443" s="5"/>
      <c r="F443" s="2">
        <f>D443*Katelaskelma!$D$41</f>
        <v>10172.499041439118</v>
      </c>
      <c r="G443" s="5">
        <f>D443*Lähtötiedot!$C$11+Katelaskelma!$F$31-Katelaskelma!$F$46</f>
        <v>79868.553327646165</v>
      </c>
      <c r="H443" s="1"/>
    </row>
    <row r="444" spans="1:8" x14ac:dyDescent="0.25">
      <c r="A444" s="5"/>
      <c r="C444" s="2">
        <v>443</v>
      </c>
      <c r="D444" s="5">
        <v>1049.3482608812922</v>
      </c>
      <c r="E444" s="5"/>
      <c r="F444" s="2">
        <f>D444*Katelaskelma!$D$41</f>
        <v>12527.051421822234</v>
      </c>
      <c r="G444" s="5">
        <f>D444*Lähtötiedot!$C$11+Katelaskelma!$F$31-Katelaskelma!$F$46</f>
        <v>107875.61112985903</v>
      </c>
      <c r="H444" s="1"/>
    </row>
    <row r="445" spans="1:8" x14ac:dyDescent="0.25">
      <c r="A445" s="5"/>
      <c r="C445" s="2">
        <v>444</v>
      </c>
      <c r="D445" s="5">
        <v>1168.376768322729</v>
      </c>
      <c r="E445" s="5"/>
      <c r="F445" s="2">
        <f>D445*Katelaskelma!$D$41</f>
        <v>13948.006017133952</v>
      </c>
      <c r="G445" s="5">
        <f>D445*Lähtötiedot!$C$11+Katelaskelma!$F$31-Katelaskelma!$F$46</f>
        <v>124777.65918654305</v>
      </c>
      <c r="H445" s="1"/>
    </row>
    <row r="446" spans="1:8" x14ac:dyDescent="0.25">
      <c r="A446" s="5"/>
      <c r="C446" s="2">
        <v>445</v>
      </c>
      <c r="D446" s="5">
        <v>773.76485221986536</v>
      </c>
      <c r="E446" s="5"/>
      <c r="F446" s="2">
        <f>D446*Katelaskelma!$D$41</f>
        <v>9237.154578229638</v>
      </c>
      <c r="G446" s="5">
        <f>D446*Lähtötiedot!$C$11+Katelaskelma!$F$31-Katelaskelma!$F$46</f>
        <v>68742.767099936405</v>
      </c>
      <c r="H446" s="1"/>
    </row>
    <row r="447" spans="1:8" x14ac:dyDescent="0.25">
      <c r="A447" s="5"/>
      <c r="C447" s="2">
        <v>446</v>
      </c>
      <c r="D447" s="5">
        <v>862.01482361334388</v>
      </c>
      <c r="E447" s="5"/>
      <c r="F447" s="2">
        <f>D447*Katelaskelma!$D$41</f>
        <v>10290.67700813483</v>
      </c>
      <c r="G447" s="5">
        <f>D447*Lähtötiedot!$C$11+Katelaskelma!$F$31-Katelaskelma!$F$46</f>
        <v>81274.263037810364</v>
      </c>
      <c r="H447" s="1"/>
    </row>
    <row r="448" spans="1:8" x14ac:dyDescent="0.25">
      <c r="A448" s="5"/>
      <c r="C448" s="2">
        <v>447</v>
      </c>
      <c r="D448" s="5">
        <v>1275.7395346351443</v>
      </c>
      <c r="E448" s="5"/>
      <c r="F448" s="2">
        <f>D448*Katelaskelma!$D$41</f>
        <v>15229.695752108275</v>
      </c>
      <c r="G448" s="5">
        <f>D448*Lähtötiedot!$C$11+Katelaskelma!$F$31-Katelaskelma!$F$46</f>
        <v>140023.17200290604</v>
      </c>
      <c r="H448" s="1"/>
    </row>
    <row r="449" spans="1:8" x14ac:dyDescent="0.25">
      <c r="A449" s="5"/>
      <c r="C449" s="2">
        <v>448</v>
      </c>
      <c r="D449" s="5">
        <v>912.95590607726331</v>
      </c>
      <c r="E449" s="5"/>
      <c r="F449" s="2">
        <f>D449*Katelaskelma!$D$41</f>
        <v>10898.808343839206</v>
      </c>
      <c r="G449" s="5">
        <f>D449*Lähtötiedot!$C$11+Katelaskelma!$F$31-Katelaskelma!$F$46</f>
        <v>88507.896747686929</v>
      </c>
      <c r="H449" s="1"/>
    </row>
    <row r="450" spans="1:8" x14ac:dyDescent="0.25">
      <c r="A450" s="5"/>
      <c r="C450" s="2">
        <v>449</v>
      </c>
      <c r="D450" s="5">
        <v>663.32133190828495</v>
      </c>
      <c r="E450" s="5"/>
      <c r="F450" s="2">
        <f>D450*Katelaskelma!$D$41</f>
        <v>7918.6870019949547</v>
      </c>
      <c r="G450" s="5">
        <f>D450*Lähtötiedot!$C$11+Katelaskelma!$F$31-Katelaskelma!$F$46</f>
        <v>53059.787215691991</v>
      </c>
      <c r="H450" s="1"/>
    </row>
    <row r="451" spans="1:8" x14ac:dyDescent="0.25">
      <c r="A451" s="5"/>
      <c r="C451" s="2">
        <v>450</v>
      </c>
      <c r="D451" s="5">
        <v>363.78026013195023</v>
      </c>
      <c r="E451" s="5"/>
      <c r="F451" s="2">
        <f>D451*Katelaskelma!$D$41</f>
        <v>4342.7851313057372</v>
      </c>
      <c r="G451" s="5">
        <f>D451*Lähtötiedot!$C$11+Katelaskelma!$F$31-Katelaskelma!$F$46</f>
        <v>10524.955023452465</v>
      </c>
      <c r="H451" s="1"/>
    </row>
    <row r="452" spans="1:8" x14ac:dyDescent="0.25">
      <c r="A452" s="5"/>
      <c r="C452" s="2">
        <v>451</v>
      </c>
      <c r="D452" s="5">
        <v>648.11793877940522</v>
      </c>
      <c r="E452" s="5"/>
      <c r="F452" s="2">
        <f>D452*Katelaskelma!$D$41</f>
        <v>7737.1898817236515</v>
      </c>
      <c r="G452" s="5">
        <f>D452*Lähtötiedot!$C$11+Katelaskelma!$F$31-Katelaskelma!$F$46</f>
        <v>50900.905391391076</v>
      </c>
      <c r="H452" s="1"/>
    </row>
    <row r="453" spans="1:8" x14ac:dyDescent="0.25">
      <c r="A453" s="5"/>
      <c r="C453" s="2">
        <v>452</v>
      </c>
      <c r="D453" s="5">
        <v>587.45525244455325</v>
      </c>
      <c r="E453" s="5"/>
      <c r="F453" s="2">
        <f>D453*Katelaskelma!$D$41</f>
        <v>7013.0026700687304</v>
      </c>
      <c r="G453" s="5">
        <f>D453*Lähtötiedot!$C$11+Katelaskelma!$F$31-Katelaskelma!$F$46</f>
        <v>42286.803931842092</v>
      </c>
      <c r="H453" s="1"/>
    </row>
    <row r="454" spans="1:8" x14ac:dyDescent="0.25">
      <c r="A454" s="5"/>
      <c r="C454" s="2">
        <v>453</v>
      </c>
      <c r="D454" s="5">
        <v>1080.3105479525791</v>
      </c>
      <c r="E454" s="5"/>
      <c r="F454" s="2">
        <f>D454*Katelaskelma!$D$41</f>
        <v>12896.677195017384</v>
      </c>
      <c r="G454" s="5">
        <f>D454*Lähtötiedot!$C$11+Katelaskelma!$F$31-Katelaskelma!$F$46</f>
        <v>112272.25589398178</v>
      </c>
      <c r="H454" s="1"/>
    </row>
    <row r="455" spans="1:8" x14ac:dyDescent="0.25">
      <c r="A455" s="5"/>
      <c r="C455" s="2">
        <v>454</v>
      </c>
      <c r="D455" s="5">
        <v>779.83391117159476</v>
      </c>
      <c r="E455" s="5"/>
      <c r="F455" s="2">
        <f>D455*Katelaskelma!$D$41</f>
        <v>9309.6066100331991</v>
      </c>
      <c r="G455" s="5">
        <f>D455*Lähtötiedot!$C$11+Katelaskelma!$F$31-Katelaskelma!$F$46</f>
        <v>69604.573471081996</v>
      </c>
      <c r="H455" s="1"/>
    </row>
    <row r="456" spans="1:8" x14ac:dyDescent="0.25">
      <c r="A456" s="5"/>
      <c r="C456" s="2">
        <v>455</v>
      </c>
      <c r="D456" s="5">
        <v>577.84047236561196</v>
      </c>
      <c r="E456" s="5"/>
      <c r="F456" s="2">
        <f>D456*Katelaskelma!$D$41</f>
        <v>6898.2220496127011</v>
      </c>
      <c r="G456" s="5">
        <f>D456*Lähtötiedot!$C$11+Katelaskelma!$F$31-Katelaskelma!$F$46</f>
        <v>40921.505160632427</v>
      </c>
      <c r="H456" s="1"/>
    </row>
    <row r="457" spans="1:8" x14ac:dyDescent="0.25">
      <c r="A457" s="5"/>
      <c r="C457" s="2">
        <v>456</v>
      </c>
      <c r="D457" s="5">
        <v>411.02535707757789</v>
      </c>
      <c r="E457" s="5"/>
      <c r="F457" s="2">
        <f>D457*Katelaskelma!$D$41</f>
        <v>4906.7940318110832</v>
      </c>
      <c r="G457" s="5">
        <f>D457*Lähtötiedot!$C$11+Katelaskelma!$F$31-Katelaskelma!$F$46</f>
        <v>17233.758789731597</v>
      </c>
      <c r="H457" s="1"/>
    </row>
    <row r="458" spans="1:8" x14ac:dyDescent="0.25">
      <c r="A458" s="5"/>
      <c r="C458" s="2">
        <v>457</v>
      </c>
      <c r="D458" s="5">
        <v>737.60073297888698</v>
      </c>
      <c r="E458" s="5"/>
      <c r="F458" s="2">
        <f>D458*Katelaskelma!$D$41</f>
        <v>8805.4296702604079</v>
      </c>
      <c r="G458" s="5">
        <f>D458*Lähtötiedot!$C$11+Katelaskelma!$F$31-Katelaskelma!$F$46</f>
        <v>63607.462167717487</v>
      </c>
      <c r="H458" s="1"/>
    </row>
    <row r="459" spans="1:8" x14ac:dyDescent="0.25">
      <c r="A459" s="5"/>
      <c r="C459" s="2">
        <v>458</v>
      </c>
      <c r="D459" s="5">
        <v>1170.7863938805897</v>
      </c>
      <c r="E459" s="5"/>
      <c r="F459" s="2">
        <f>D459*Katelaskelma!$D$41</f>
        <v>13976.771970627127</v>
      </c>
      <c r="G459" s="5">
        <f>D459*Lähtötiedot!$C$11+Katelaskelma!$F$31-Katelaskelma!$F$46</f>
        <v>125119.82601575929</v>
      </c>
      <c r="H459" s="1"/>
    </row>
    <row r="460" spans="1:8" x14ac:dyDescent="0.25">
      <c r="A460" s="5"/>
      <c r="C460" s="2">
        <v>459</v>
      </c>
      <c r="D460" s="5">
        <v>310.96661057436114</v>
      </c>
      <c r="E460" s="5"/>
      <c r="F460" s="2">
        <f>D460*Katelaskelma!$D$41</f>
        <v>3712.2992111914987</v>
      </c>
      <c r="G460" s="5">
        <f>D460*Lähtötiedot!$C$11+Katelaskelma!$F$31-Katelaskelma!$F$46</f>
        <v>3025.4167862748145</v>
      </c>
      <c r="H460" s="1"/>
    </row>
    <row r="461" spans="1:8" x14ac:dyDescent="0.25">
      <c r="A461" s="5"/>
      <c r="C461" s="2">
        <v>460</v>
      </c>
      <c r="D461" s="5">
        <v>690.2374882886927</v>
      </c>
      <c r="E461" s="5"/>
      <c r="F461" s="2">
        <f>D461*Katelaskelma!$D$41</f>
        <v>8240.0103296497764</v>
      </c>
      <c r="G461" s="5">
        <f>D461*Lähtötiedot!$C$11+Katelaskelma!$F$31-Katelaskelma!$F$46</f>
        <v>56881.881421709899</v>
      </c>
      <c r="H461" s="1"/>
    </row>
    <row r="462" spans="1:8" x14ac:dyDescent="0.25">
      <c r="A462" s="5"/>
      <c r="C462" s="2">
        <v>461</v>
      </c>
      <c r="D462" s="5">
        <v>1077.3324946274558</v>
      </c>
      <c r="E462" s="5"/>
      <c r="F462" s="2">
        <f>D462*Katelaskelma!$D$41</f>
        <v>12861.125387737105</v>
      </c>
      <c r="G462" s="5">
        <f>D462*Lähtötiedot!$C$11+Katelaskelma!$F$31-Katelaskelma!$F$46</f>
        <v>111849.37232181427</v>
      </c>
      <c r="H462" s="1"/>
    </row>
    <row r="463" spans="1:8" x14ac:dyDescent="0.25">
      <c r="A463" s="5"/>
      <c r="C463" s="2">
        <v>462</v>
      </c>
      <c r="D463" s="5">
        <v>794.21873368704132</v>
      </c>
      <c r="E463" s="5"/>
      <c r="F463" s="2">
        <f>D463*Katelaskelma!$D$41</f>
        <v>9481.3316874573957</v>
      </c>
      <c r="G463" s="5">
        <f>D463*Lähtötiedot!$C$11+Katelaskelma!$F$31-Katelaskelma!$F$46</f>
        <v>71647.218268275406</v>
      </c>
      <c r="H463" s="1"/>
    </row>
    <row r="464" spans="1:8" x14ac:dyDescent="0.25">
      <c r="A464" s="5"/>
      <c r="C464" s="2">
        <v>463</v>
      </c>
      <c r="D464" s="5">
        <v>28.008174320021965</v>
      </c>
      <c r="E464" s="5"/>
      <c r="F464" s="2">
        <f>D464*Katelaskelma!$D$41</f>
        <v>334.35976693153094</v>
      </c>
      <c r="G464" s="5">
        <f>D464*Lähtötiedot!$C$11+Katelaskelma!$F$31-Katelaskelma!$F$46</f>
        <v>-37154.681161841349</v>
      </c>
      <c r="H464" s="1"/>
    </row>
    <row r="465" spans="1:8" x14ac:dyDescent="0.25">
      <c r="A465" s="5"/>
      <c r="C465" s="2">
        <v>464</v>
      </c>
      <c r="D465" s="5">
        <v>778.36202443951129</v>
      </c>
      <c r="E465" s="5"/>
      <c r="F465" s="2">
        <f>D465*Katelaskelma!$D$41</f>
        <v>9292.0353217704996</v>
      </c>
      <c r="G465" s="5">
        <f>D465*Lähtötiedot!$C$11+Katelaskelma!$F$31-Katelaskelma!$F$46</f>
        <v>69395.565555126144</v>
      </c>
      <c r="H465" s="1"/>
    </row>
    <row r="466" spans="1:8" x14ac:dyDescent="0.25">
      <c r="A466" s="5"/>
      <c r="C466" s="2">
        <v>465</v>
      </c>
      <c r="D466" s="5">
        <v>937.60173215656482</v>
      </c>
      <c r="E466" s="5"/>
      <c r="F466" s="2">
        <f>D466*Katelaskelma!$D$41</f>
        <v>11193.028615733881</v>
      </c>
      <c r="G466" s="5">
        <f>D466*Lähtötiedot!$C$11+Katelaskelma!$F$31-Katelaskelma!$F$46</f>
        <v>92007.604050947761</v>
      </c>
      <c r="H466" s="1"/>
    </row>
    <row r="467" spans="1:8" x14ac:dyDescent="0.25">
      <c r="A467" s="5"/>
      <c r="C467" s="2">
        <v>466</v>
      </c>
      <c r="D467" s="5">
        <v>886.24665374338088</v>
      </c>
      <c r="E467" s="5"/>
      <c r="F467" s="2">
        <f>D467*Katelaskelma!$D$41</f>
        <v>10579.955023260996</v>
      </c>
      <c r="G467" s="5">
        <f>D467*Lähtötiedot!$C$11+Katelaskelma!$F$31-Katelaskelma!$F$46</f>
        <v>84715.182916275633</v>
      </c>
      <c r="H467" s="1"/>
    </row>
    <row r="468" spans="1:8" x14ac:dyDescent="0.25">
      <c r="A468" s="5"/>
      <c r="C468" s="2">
        <v>467</v>
      </c>
      <c r="D468" s="5">
        <v>249.50892176308963</v>
      </c>
      <c r="E468" s="5"/>
      <c r="F468" s="2">
        <f>D468*Katelaskelma!$D$41</f>
        <v>2978.6213115792548</v>
      </c>
      <c r="G468" s="5">
        <f>D468*Lähtötiedot!$C$11+Katelaskelma!$F$31-Katelaskelma!$F$46</f>
        <v>-5701.5750249257399</v>
      </c>
      <c r="H468" s="1"/>
    </row>
    <row r="469" spans="1:8" x14ac:dyDescent="0.25">
      <c r="A469" s="5"/>
      <c r="C469" s="2">
        <v>468</v>
      </c>
      <c r="D469" s="5">
        <v>869.92076518810995</v>
      </c>
      <c r="E469" s="5"/>
      <c r="F469" s="2">
        <f>D469*Katelaskelma!$D$41</f>
        <v>10385.05762545423</v>
      </c>
      <c r="G469" s="5">
        <f>D469*Lähtötiedot!$C$11+Katelaskelma!$F$31-Katelaskelma!$F$46</f>
        <v>82396.906741427141</v>
      </c>
      <c r="H469" s="1"/>
    </row>
    <row r="470" spans="1:8" x14ac:dyDescent="0.25">
      <c r="A470" s="5"/>
      <c r="C470" s="2">
        <v>469</v>
      </c>
      <c r="D470" s="5">
        <v>686.77330181910179</v>
      </c>
      <c r="E470" s="5"/>
      <c r="F470" s="2">
        <f>D470*Katelaskelma!$D$41</f>
        <v>8198.6550964473117</v>
      </c>
      <c r="G470" s="5">
        <f>D470*Lähtötiedot!$C$11+Katelaskelma!$F$31-Katelaskelma!$F$46</f>
        <v>56389.966943027976</v>
      </c>
      <c r="H470" s="1"/>
    </row>
    <row r="471" spans="1:8" x14ac:dyDescent="0.25">
      <c r="A471" s="5"/>
      <c r="C471" s="2">
        <v>470</v>
      </c>
      <c r="D471" s="5">
        <v>378.40206411807077</v>
      </c>
      <c r="E471" s="5"/>
      <c r="F471" s="2">
        <f>D471*Katelaskelma!$D$41</f>
        <v>4517.3392781436078</v>
      </c>
      <c r="G471" s="5">
        <f>D471*Lähtötiedot!$C$11+Katelaskelma!$F$31-Katelaskelma!$F$46</f>
        <v>12601.251189481583</v>
      </c>
      <c r="H471" s="1"/>
    </row>
    <row r="472" spans="1:8" x14ac:dyDescent="0.25">
      <c r="A472" s="5"/>
      <c r="C472" s="2">
        <v>471</v>
      </c>
      <c r="D472" s="5">
        <v>760.43898212601221</v>
      </c>
      <c r="E472" s="5"/>
      <c r="F472" s="2">
        <f>D472*Katelaskelma!$D$41</f>
        <v>9078.0712060744081</v>
      </c>
      <c r="G472" s="5">
        <f>D472*Lähtötiedot!$C$11+Katelaskelma!$F$31-Katelaskelma!$F$46</f>
        <v>66850.493546609272</v>
      </c>
      <c r="H472" s="1"/>
    </row>
    <row r="473" spans="1:8" x14ac:dyDescent="0.25">
      <c r="A473" s="5"/>
      <c r="C473" s="2">
        <v>472</v>
      </c>
      <c r="D473" s="5">
        <v>501.80137673198607</v>
      </c>
      <c r="E473" s="5"/>
      <c r="F473" s="2">
        <f>D473*Katelaskelma!$D$41</f>
        <v>5990.4722618813175</v>
      </c>
      <c r="G473" s="5">
        <f>D473*Lähtötiedot!$C$11+Katelaskelma!$F$31-Katelaskelma!$F$46</f>
        <v>30123.953580657544</v>
      </c>
      <c r="H473" s="1"/>
    </row>
    <row r="474" spans="1:8" x14ac:dyDescent="0.25">
      <c r="A474" s="5"/>
      <c r="C474" s="2">
        <v>473</v>
      </c>
      <c r="D474" s="5">
        <v>767.75309356381445</v>
      </c>
      <c r="E474" s="5"/>
      <c r="F474" s="2">
        <f>D474*Katelaskelma!$D$41</f>
        <v>9165.3865936363363</v>
      </c>
      <c r="G474" s="5">
        <f>D474*Lähtötiedot!$C$11+Katelaskelma!$F$31-Katelaskelma!$F$46</f>
        <v>67889.097370777192</v>
      </c>
      <c r="H474" s="1"/>
    </row>
    <row r="475" spans="1:8" x14ac:dyDescent="0.25">
      <c r="A475" s="5"/>
      <c r="C475" s="2">
        <v>474</v>
      </c>
      <c r="D475" s="5">
        <v>1249.7784204837747</v>
      </c>
      <c r="E475" s="5"/>
      <c r="F475" s="2">
        <f>D475*Katelaskelma!$D$41</f>
        <v>14919.773656588839</v>
      </c>
      <c r="G475" s="5">
        <f>D475*Lähtötiedot!$C$11+Katelaskelma!$F$31-Katelaskelma!$F$46</f>
        <v>136336.69379341154</v>
      </c>
      <c r="H475" s="1"/>
    </row>
    <row r="476" spans="1:8" x14ac:dyDescent="0.25">
      <c r="A476" s="5"/>
      <c r="C476" s="2">
        <v>475</v>
      </c>
      <c r="D476" s="5">
        <v>1230.0357011359981</v>
      </c>
      <c r="E476" s="5"/>
      <c r="F476" s="2">
        <f>D476*Katelaskelma!$D$41</f>
        <v>14684.086354578645</v>
      </c>
      <c r="G476" s="5">
        <f>D476*Lähtötiedot!$C$11+Katelaskelma!$F$31-Katelaskelma!$F$46</f>
        <v>133533.22764602728</v>
      </c>
      <c r="H476" s="1"/>
    </row>
    <row r="477" spans="1:8" x14ac:dyDescent="0.25">
      <c r="A477" s="5"/>
      <c r="C477" s="2">
        <v>476</v>
      </c>
      <c r="D477" s="5">
        <v>805.91370226805816</v>
      </c>
      <c r="E477" s="5"/>
      <c r="F477" s="2">
        <f>D477*Katelaskelma!$D$41</f>
        <v>9620.9454632194611</v>
      </c>
      <c r="G477" s="5">
        <f>D477*Lähtötiedot!$C$11+Katelaskelma!$F$31-Katelaskelma!$F$46</f>
        <v>73307.903806779796</v>
      </c>
      <c r="H477" s="1"/>
    </row>
    <row r="478" spans="1:8" x14ac:dyDescent="0.25">
      <c r="A478" s="5"/>
      <c r="C478" s="2">
        <v>477</v>
      </c>
      <c r="D478" s="5">
        <v>1226.0462100087445</v>
      </c>
      <c r="E478" s="5"/>
      <c r="F478" s="2">
        <f>D478*Katelaskelma!$D$41</f>
        <v>14636.460068472223</v>
      </c>
      <c r="G478" s="5">
        <f>D478*Lähtötiedot!$C$11+Katelaskelma!$F$31-Katelaskelma!$F$46</f>
        <v>132966.71990595726</v>
      </c>
      <c r="H478" s="1"/>
    </row>
    <row r="479" spans="1:8" x14ac:dyDescent="0.25">
      <c r="A479" s="5"/>
      <c r="C479" s="2">
        <v>478</v>
      </c>
      <c r="D479" s="5">
        <v>751.69163537570307</v>
      </c>
      <c r="E479" s="5"/>
      <c r="F479" s="2">
        <f>D479*Katelaskelma!$D$41</f>
        <v>8973.6459483876952</v>
      </c>
      <c r="G479" s="5">
        <f>D479*Lähtötiedot!$C$11+Katelaskelma!$F$31-Katelaskelma!$F$46</f>
        <v>65608.37030806538</v>
      </c>
      <c r="H479" s="1"/>
    </row>
    <row r="480" spans="1:8" x14ac:dyDescent="0.25">
      <c r="A480" s="5"/>
      <c r="C480" s="2">
        <v>479</v>
      </c>
      <c r="D480" s="5">
        <v>605.99687957964966</v>
      </c>
      <c r="E480" s="5"/>
      <c r="F480" s="2">
        <f>D480*Katelaskelma!$D$41</f>
        <v>7234.3514112107168</v>
      </c>
      <c r="G480" s="5">
        <f>D480*Lähtötiedot!$C$11+Katelaskelma!$F$31-Katelaskelma!$F$46</f>
        <v>44919.714985025785</v>
      </c>
      <c r="H480" s="1"/>
    </row>
    <row r="481" spans="1:8" x14ac:dyDescent="0.25">
      <c r="A481" s="5"/>
      <c r="C481" s="2">
        <v>480</v>
      </c>
      <c r="D481" s="5">
        <v>520.38818591571294</v>
      </c>
      <c r="E481" s="5"/>
      <c r="F481" s="2">
        <f>D481*Katelaskelma!$D$41</f>
        <v>6212.360383386942</v>
      </c>
      <c r="G481" s="5">
        <f>D481*Lähtötiedot!$C$11+Katelaskelma!$F$31-Katelaskelma!$F$46</f>
        <v>32763.280484746763</v>
      </c>
      <c r="H481" s="1"/>
    </row>
    <row r="482" spans="1:8" x14ac:dyDescent="0.25">
      <c r="A482" s="5"/>
      <c r="C482" s="2">
        <v>481</v>
      </c>
      <c r="D482" s="5">
        <v>775.20751265492777</v>
      </c>
      <c r="E482" s="5"/>
      <c r="F482" s="2">
        <f>D482*Katelaskelma!$D$41</f>
        <v>9254.3769648556718</v>
      </c>
      <c r="G482" s="5">
        <f>D482*Lähtötiedot!$C$11+Katelaskelma!$F$31-Katelaskelma!$F$46</f>
        <v>68947.624881715281</v>
      </c>
      <c r="H482" s="1"/>
    </row>
    <row r="483" spans="1:8" x14ac:dyDescent="0.25">
      <c r="A483" s="5"/>
      <c r="C483" s="2">
        <v>482</v>
      </c>
      <c r="D483" s="5">
        <v>584.4948273841394</v>
      </c>
      <c r="E483" s="5"/>
      <c r="F483" s="2">
        <f>D483*Katelaskelma!$D$41</f>
        <v>6977.6613078682449</v>
      </c>
      <c r="G483" s="5">
        <f>D483*Lähtötiedot!$C$11+Katelaskelma!$F$31-Katelaskelma!$F$46</f>
        <v>41866.423573263339</v>
      </c>
      <c r="H483" s="1"/>
    </row>
    <row r="484" spans="1:8" x14ac:dyDescent="0.25">
      <c r="A484" s="5"/>
      <c r="C484" s="2">
        <v>483</v>
      </c>
      <c r="D484" s="5">
        <v>491.42357004274783</v>
      </c>
      <c r="E484" s="5"/>
      <c r="F484" s="2">
        <f>D484*Katelaskelma!$D$41</f>
        <v>5866.5826792820808</v>
      </c>
      <c r="G484" s="5">
        <f>D484*Lähtötiedot!$C$11+Katelaskelma!$F$31-Katelaskelma!$F$46</f>
        <v>28650.305030785734</v>
      </c>
      <c r="H484" s="1"/>
    </row>
    <row r="485" spans="1:8" x14ac:dyDescent="0.25">
      <c r="A485" s="5"/>
      <c r="C485" s="2">
        <v>484</v>
      </c>
      <c r="D485" s="5">
        <v>766.72665302566861</v>
      </c>
      <c r="E485" s="5"/>
      <c r="F485" s="2">
        <f>D485*Katelaskelma!$D$41</f>
        <v>9153.1330131215163</v>
      </c>
      <c r="G485" s="5">
        <f>D485*Lähtötiedot!$C$11+Katelaskelma!$F$31-Katelaskelma!$F$46</f>
        <v>67743.342814360483</v>
      </c>
      <c r="H485" s="1"/>
    </row>
    <row r="486" spans="1:8" x14ac:dyDescent="0.25">
      <c r="A486" s="5"/>
      <c r="C486" s="2">
        <v>485</v>
      </c>
      <c r="D486" s="5">
        <v>368.15403483069377</v>
      </c>
      <c r="E486" s="5"/>
      <c r="F486" s="2">
        <f>D486*Katelaskelma!$D$41</f>
        <v>4394.9989697435212</v>
      </c>
      <c r="G486" s="5">
        <f>D486*Lähtötiedot!$C$11+Katelaskelma!$F$31-Katelaskelma!$F$46</f>
        <v>11146.031030674058</v>
      </c>
      <c r="H486" s="1"/>
    </row>
    <row r="487" spans="1:8" x14ac:dyDescent="0.25">
      <c r="A487" s="5"/>
      <c r="C487" s="2">
        <v>486</v>
      </c>
      <c r="D487" s="5">
        <v>663.0447872676616</v>
      </c>
      <c r="E487" s="5"/>
      <c r="F487" s="2">
        <f>D487*Katelaskelma!$D$41</f>
        <v>7915.3856300265979</v>
      </c>
      <c r="G487" s="5">
        <f>D487*Lähtötiedot!$C$11+Katelaskelma!$F$31-Katelaskelma!$F$46</f>
        <v>53020.51787672349</v>
      </c>
      <c r="H487" s="1"/>
    </row>
    <row r="488" spans="1:8" x14ac:dyDescent="0.25">
      <c r="A488" s="5"/>
      <c r="C488" s="2">
        <v>487</v>
      </c>
      <c r="D488" s="5">
        <v>508.00834910489522</v>
      </c>
      <c r="E488" s="5"/>
      <c r="F488" s="2">
        <f>D488*Katelaskelma!$D$41</f>
        <v>6064.5706951545189</v>
      </c>
      <c r="G488" s="5">
        <f>D488*Lähtötiedot!$C$11+Katelaskelma!$F$31-Katelaskelma!$F$46</f>
        <v>31005.343657610647</v>
      </c>
      <c r="H488" s="1"/>
    </row>
    <row r="489" spans="1:8" x14ac:dyDescent="0.25">
      <c r="A489" s="5"/>
      <c r="C489" s="2">
        <v>488</v>
      </c>
      <c r="D489" s="5">
        <v>572.41307542333038</v>
      </c>
      <c r="E489" s="5"/>
      <c r="F489" s="2">
        <f>D489*Katelaskelma!$D$41</f>
        <v>6833.4301372255768</v>
      </c>
      <c r="G489" s="5">
        <f>D489*Lähtötiedot!$C$11+Katelaskelma!$F$31-Katelaskelma!$F$46</f>
        <v>40150.814794828446</v>
      </c>
      <c r="H489" s="1"/>
    </row>
    <row r="490" spans="1:8" x14ac:dyDescent="0.25">
      <c r="A490" s="5"/>
      <c r="C490" s="2">
        <v>489</v>
      </c>
      <c r="D490" s="5">
        <v>768.45704106831113</v>
      </c>
      <c r="E490" s="5"/>
      <c r="F490" s="2">
        <f>D490*Katelaskelma!$D$41</f>
        <v>9173.7902732495168</v>
      </c>
      <c r="G490" s="5">
        <f>D490*Lähtötiedot!$C$11+Katelaskelma!$F$31-Katelaskelma!$F$46</f>
        <v>67989.05791641571</v>
      </c>
      <c r="H490" s="1"/>
    </row>
    <row r="491" spans="1:8" x14ac:dyDescent="0.25">
      <c r="A491" s="5"/>
      <c r="C491" s="2">
        <v>490</v>
      </c>
      <c r="D491" s="5">
        <v>750.57066501547365</v>
      </c>
      <c r="E491" s="5"/>
      <c r="F491" s="2">
        <f>D491*Katelaskelma!$D$41</f>
        <v>8960.2638769930763</v>
      </c>
      <c r="G491" s="5">
        <f>D491*Lähtötiedot!$C$11+Katelaskelma!$F$31-Katelaskelma!$F$46</f>
        <v>65449.192516912794</v>
      </c>
      <c r="H491" s="1"/>
    </row>
    <row r="492" spans="1:8" x14ac:dyDescent="0.25">
      <c r="A492" s="5"/>
      <c r="C492" s="2">
        <v>491</v>
      </c>
      <c r="D492" s="5">
        <v>903.23979656709503</v>
      </c>
      <c r="E492" s="5"/>
      <c r="F492" s="2">
        <f>D492*Katelaskelma!$D$41</f>
        <v>10782.818059210809</v>
      </c>
      <c r="G492" s="5">
        <f>D492*Lähtötiedot!$C$11+Katelaskelma!$F$31-Katelaskelma!$F$46</f>
        <v>87128.209197243035</v>
      </c>
      <c r="H492" s="1"/>
    </row>
    <row r="493" spans="1:8" x14ac:dyDescent="0.25">
      <c r="A493" s="5"/>
      <c r="C493" s="2">
        <v>492</v>
      </c>
      <c r="D493" s="5">
        <v>459.71439523399869</v>
      </c>
      <c r="E493" s="5"/>
      <c r="F493" s="2">
        <f>D493*Katelaskelma!$D$41</f>
        <v>5488.0406087599977</v>
      </c>
      <c r="G493" s="5">
        <f>D493*Lähtötiedot!$C$11+Katelaskelma!$F$31-Katelaskelma!$F$46</f>
        <v>24147.602207943346</v>
      </c>
      <c r="H493" s="1"/>
    </row>
    <row r="494" spans="1:8" x14ac:dyDescent="0.25">
      <c r="A494" s="5"/>
      <c r="C494" s="2">
        <v>493</v>
      </c>
      <c r="D494" s="5">
        <v>1204.8065414288255</v>
      </c>
      <c r="E494" s="5"/>
      <c r="F494" s="2">
        <f>D494*Katelaskelma!$D$41</f>
        <v>14382.902283700512</v>
      </c>
      <c r="G494" s="5">
        <f>D494*Lähtötiedot!$C$11+Katelaskelma!$F$31-Katelaskelma!$F$46</f>
        <v>129950.68696760878</v>
      </c>
      <c r="H494" s="1"/>
    </row>
    <row r="495" spans="1:8" x14ac:dyDescent="0.25">
      <c r="A495" s="5"/>
      <c r="C495" s="2">
        <v>494</v>
      </c>
      <c r="D495" s="5">
        <v>308.93436906241578</v>
      </c>
      <c r="E495" s="5"/>
      <c r="F495" s="2">
        <f>D495*Katelaskelma!$D$41</f>
        <v>3688.0384439412433</v>
      </c>
      <c r="G495" s="5">
        <f>D495*Lähtötiedot!$C$11+Katelaskelma!$F$31-Katelaskelma!$F$46</f>
        <v>2736.8384915785864</v>
      </c>
      <c r="H495" s="1"/>
    </row>
    <row r="496" spans="1:8" x14ac:dyDescent="0.25">
      <c r="A496" s="5"/>
      <c r="C496" s="2">
        <v>495</v>
      </c>
      <c r="D496" s="5">
        <v>433.58383443147324</v>
      </c>
      <c r="E496" s="5"/>
      <c r="F496" s="2">
        <f>D496*Katelaskelma!$D$41</f>
        <v>5176.0956701183941</v>
      </c>
      <c r="G496" s="5">
        <f>D496*Lähtötiedot!$C$11+Katelaskelma!$F$31-Katelaskelma!$F$46</f>
        <v>20437.062573984731</v>
      </c>
      <c r="H496" s="1"/>
    </row>
    <row r="497" spans="1:8" x14ac:dyDescent="0.25">
      <c r="A497" s="5"/>
      <c r="C497" s="2">
        <v>496</v>
      </c>
      <c r="D497" s="5">
        <v>769.20534742983295</v>
      </c>
      <c r="E497" s="5"/>
      <c r="F497" s="2">
        <f>D497*Katelaskelma!$D$41</f>
        <v>9182.7235060183848</v>
      </c>
      <c r="G497" s="5">
        <f>D497*Lähtötiedot!$C$11+Katelaskelma!$F$31-Katelaskelma!$F$46</f>
        <v>68095.317419751809</v>
      </c>
      <c r="H497" s="1"/>
    </row>
    <row r="498" spans="1:8" x14ac:dyDescent="0.25">
      <c r="A498" s="5"/>
      <c r="C498" s="2">
        <v>497</v>
      </c>
      <c r="D498" s="5">
        <v>512.72205210943071</v>
      </c>
      <c r="E498" s="5"/>
      <c r="F498" s="2">
        <f>D498*Katelaskelma!$D$41</f>
        <v>6120.8425756410052</v>
      </c>
      <c r="G498" s="5">
        <f>D498*Lähtötiedot!$C$11+Katelaskelma!$F$31-Katelaskelma!$F$46</f>
        <v>31674.68948425469</v>
      </c>
      <c r="H498" s="1"/>
    </row>
    <row r="499" spans="1:8" x14ac:dyDescent="0.25">
      <c r="A499" s="5"/>
      <c r="C499" s="2">
        <v>498</v>
      </c>
      <c r="D499" s="5">
        <v>511.52494451616195</v>
      </c>
      <c r="E499" s="5"/>
      <c r="F499" s="2">
        <f>D499*Katelaskelma!$D$41</f>
        <v>6106.5515829006763</v>
      </c>
      <c r="G499" s="5">
        <f>D499*Lähtötiedot!$C$11+Katelaskelma!$F$31-Katelaskelma!$F$46</f>
        <v>31504.700206010544</v>
      </c>
      <c r="H499" s="1"/>
    </row>
    <row r="500" spans="1:8" x14ac:dyDescent="0.25">
      <c r="A500" s="5"/>
      <c r="C500" s="2">
        <v>499</v>
      </c>
      <c r="D500" s="5">
        <v>1055.407810001466</v>
      </c>
      <c r="E500" s="5"/>
      <c r="F500" s="2">
        <f>D500*Katelaskelma!$D$41</f>
        <v>12599.389925874002</v>
      </c>
      <c r="G500" s="5">
        <f>D500*Lähtötiedot!$C$11+Katelaskelma!$F$31-Katelaskelma!$F$46</f>
        <v>108736.06710492371</v>
      </c>
      <c r="H500" s="1"/>
    </row>
    <row r="501" spans="1:8" x14ac:dyDescent="0.25">
      <c r="A501" s="5"/>
      <c r="C501" s="2">
        <v>500</v>
      </c>
      <c r="D501" s="5">
        <v>905.65326363940881</v>
      </c>
      <c r="E501" s="5"/>
      <c r="F501" s="2">
        <f>D501*Katelaskelma!$D$41</f>
        <v>10811.629872454163</v>
      </c>
      <c r="G501" s="5">
        <f>D501*Lähtötiedot!$C$11+Katelaskelma!$F$31-Katelaskelma!$F$46</f>
        <v>87470.921521511598</v>
      </c>
      <c r="H501" s="1"/>
    </row>
    <row r="502" spans="1:8" x14ac:dyDescent="0.25">
      <c r="A502" s="5"/>
      <c r="C502" s="2">
        <v>501</v>
      </c>
      <c r="D502" s="5">
        <v>793.08974877388914</v>
      </c>
      <c r="E502" s="5"/>
      <c r="F502" s="2">
        <f>D502*Katelaskelma!$D$41</f>
        <v>9467.8539388502359</v>
      </c>
      <c r="G502" s="5">
        <f>D502*Lähtötiedot!$C$11+Katelaskelma!$F$31-Katelaskelma!$F$46</f>
        <v>71486.902410607785</v>
      </c>
      <c r="H502" s="1"/>
    </row>
    <row r="503" spans="1:8" x14ac:dyDescent="0.25">
      <c r="A503" s="5"/>
      <c r="C503" s="2">
        <v>502</v>
      </c>
      <c r="D503" s="5">
        <v>1050.4632620207874</v>
      </c>
      <c r="E503" s="5"/>
      <c r="F503" s="2">
        <f>D503*Katelaskelma!$D$41</f>
        <v>12540.36223304721</v>
      </c>
      <c r="G503" s="5">
        <f>D503*Lähtötiedot!$C$11+Katelaskelma!$F$31-Katelaskelma!$F$46</f>
        <v>108033.94129166735</v>
      </c>
      <c r="H503" s="1"/>
    </row>
    <row r="504" spans="1:8" x14ac:dyDescent="0.25">
      <c r="A504" s="5"/>
      <c r="C504" s="2">
        <v>503</v>
      </c>
      <c r="D504" s="5">
        <v>685.68647922960258</v>
      </c>
      <c r="E504" s="5"/>
      <c r="F504" s="2">
        <f>D504*Katelaskelma!$D$41</f>
        <v>8185.6806789230286</v>
      </c>
      <c r="G504" s="5">
        <f>D504*Lähtötiedot!$C$11+Katelaskelma!$F$31-Katelaskelma!$F$46</f>
        <v>56235.63813531911</v>
      </c>
      <c r="H504" s="1"/>
    </row>
    <row r="505" spans="1:8" x14ac:dyDescent="0.25">
      <c r="A505" s="5"/>
      <c r="C505" s="2">
        <v>504</v>
      </c>
      <c r="D505" s="5">
        <v>422.81016952172905</v>
      </c>
      <c r="E505" s="5"/>
      <c r="F505" s="2">
        <f>D505*Katelaskelma!$D$41</f>
        <v>5047.4803577791909</v>
      </c>
      <c r="G505" s="5">
        <f>D505*Lähtötiedot!$C$11+Katelaskelma!$F$31-Katelaskelma!$F$46</f>
        <v>18907.202156801068</v>
      </c>
      <c r="H505" s="1"/>
    </row>
    <row r="506" spans="1:8" x14ac:dyDescent="0.25">
      <c r="A506" s="5"/>
      <c r="C506" s="2">
        <v>505</v>
      </c>
      <c r="D506" s="5">
        <v>443.89563291552787</v>
      </c>
      <c r="E506" s="5"/>
      <c r="F506" s="2">
        <f>D506*Katelaskelma!$D$41</f>
        <v>5299.1972510489541</v>
      </c>
      <c r="G506" s="5">
        <f>D506*Lähtötiedot!$C$11+Katelaskelma!$F$31-Katelaskelma!$F$46</f>
        <v>21901.337958720484</v>
      </c>
      <c r="H506" s="1"/>
    </row>
    <row r="507" spans="1:8" x14ac:dyDescent="0.25">
      <c r="A507" s="5"/>
      <c r="C507" s="2">
        <v>506</v>
      </c>
      <c r="D507" s="5">
        <v>937.43320253118486</v>
      </c>
      <c r="E507" s="5"/>
      <c r="F507" s="2">
        <f>D507*Katelaskelma!$D$41</f>
        <v>11191.016720005897</v>
      </c>
      <c r="G507" s="5">
        <f>D507*Lähtötiedot!$C$11+Katelaskelma!$F$31-Katelaskelma!$F$46</f>
        <v>91983.672844143788</v>
      </c>
      <c r="H507" s="1"/>
    </row>
    <row r="508" spans="1:8" x14ac:dyDescent="0.25">
      <c r="A508" s="5"/>
      <c r="C508" s="2">
        <v>507</v>
      </c>
      <c r="D508" s="5">
        <v>875.51849665627992</v>
      </c>
      <c r="E508" s="5"/>
      <c r="F508" s="2">
        <f>D508*Katelaskelma!$D$41</f>
        <v>10451.882980354449</v>
      </c>
      <c r="G508" s="5">
        <f>D508*Lähtötiedot!$C$11+Katelaskelma!$F$31-Katelaskelma!$F$46</f>
        <v>83191.784609907278</v>
      </c>
      <c r="H508" s="1"/>
    </row>
    <row r="509" spans="1:8" x14ac:dyDescent="0.25">
      <c r="A509" s="5"/>
      <c r="C509" s="2">
        <v>508</v>
      </c>
      <c r="D509" s="5">
        <v>1150.0811185114014</v>
      </c>
      <c r="E509" s="5"/>
      <c r="F509" s="2">
        <f>D509*Katelaskelma!$D$41</f>
        <v>13729.593737315936</v>
      </c>
      <c r="G509" s="5">
        <f>D509*Lähtötiedot!$C$11+Katelaskelma!$F$31-Katelaskelma!$F$46</f>
        <v>122179.67691333455</v>
      </c>
      <c r="H509" s="1"/>
    </row>
    <row r="510" spans="1:8" x14ac:dyDescent="0.25">
      <c r="A510" s="5"/>
      <c r="C510" s="2">
        <v>509</v>
      </c>
      <c r="D510" s="5">
        <v>1172.2695168654288</v>
      </c>
      <c r="E510" s="5"/>
      <c r="F510" s="2">
        <f>D510*Katelaskelma!$D$41</f>
        <v>13994.477396545844</v>
      </c>
      <c r="G510" s="5">
        <f>D510*Lähtötiedot!$C$11+Katelaskelma!$F$31-Katelaskelma!$F$46</f>
        <v>125330.42947960645</v>
      </c>
      <c r="H510" s="1"/>
    </row>
    <row r="511" spans="1:8" x14ac:dyDescent="0.25">
      <c r="A511" s="5"/>
      <c r="C511" s="2">
        <v>510</v>
      </c>
      <c r="D511" s="5">
        <v>688.68831578789673</v>
      </c>
      <c r="E511" s="5"/>
      <c r="F511" s="2">
        <f>D511*Katelaskelma!$D$41</f>
        <v>8221.516408897056</v>
      </c>
      <c r="G511" s="5">
        <f>D511*Lähtötiedot!$C$11+Katelaskelma!$F$31-Katelaskelma!$F$46</f>
        <v>56661.898926596856</v>
      </c>
      <c r="H511" s="1"/>
    </row>
    <row r="512" spans="1:8" x14ac:dyDescent="0.25">
      <c r="A512" s="5"/>
      <c r="C512" s="2">
        <v>511</v>
      </c>
      <c r="D512" s="5">
        <v>761.4597888697383</v>
      </c>
      <c r="E512" s="5"/>
      <c r="F512" s="2">
        <f>D512*Katelaskelma!$D$41</f>
        <v>9090.2575307171537</v>
      </c>
      <c r="G512" s="5">
        <f>D512*Lähtötiedot!$C$11+Katelaskelma!$F$31-Katelaskelma!$F$46</f>
        <v>66995.448104218376</v>
      </c>
      <c r="H512" s="1"/>
    </row>
    <row r="513" spans="1:8" x14ac:dyDescent="0.25">
      <c r="A513" s="5"/>
      <c r="C513" s="2">
        <v>512</v>
      </c>
      <c r="D513" s="5">
        <v>1217.3364449306366</v>
      </c>
      <c r="E513" s="5"/>
      <c r="F513" s="2">
        <f>D513*Katelaskelma!$D$41</f>
        <v>14532.483458348701</v>
      </c>
      <c r="G513" s="5">
        <f>D513*Lähtötiedot!$C$11+Katelaskelma!$F$31-Katelaskelma!$F$46</f>
        <v>131729.93326486595</v>
      </c>
      <c r="H513" s="1"/>
    </row>
    <row r="514" spans="1:8" x14ac:dyDescent="0.25">
      <c r="A514" s="5"/>
      <c r="C514" s="2">
        <v>513</v>
      </c>
      <c r="D514" s="5">
        <v>480.20374300204577</v>
      </c>
      <c r="E514" s="5"/>
      <c r="F514" s="2">
        <f>D514*Katelaskelma!$D$41</f>
        <v>5732.641112385324</v>
      </c>
      <c r="G514" s="5">
        <f>D514*Lähtötiedot!$C$11+Katelaskelma!$F$31-Katelaskelma!$F$46</f>
        <v>27057.089591006021</v>
      </c>
      <c r="H514" s="1"/>
    </row>
    <row r="515" spans="1:8" x14ac:dyDescent="0.25">
      <c r="A515" s="5"/>
      <c r="C515" s="2">
        <v>514</v>
      </c>
      <c r="D515" s="5">
        <v>185.68953366348006</v>
      </c>
      <c r="E515" s="5"/>
      <c r="F515" s="2">
        <f>D515*Katelaskelma!$D$41</f>
        <v>2216.7495991683463</v>
      </c>
      <c r="G515" s="5">
        <f>D515*Lähtötiedot!$C$11+Katelaskelma!$F$31-Katelaskelma!$F$46</f>
        <v>-14763.928135070295</v>
      </c>
      <c r="H515" s="1"/>
    </row>
    <row r="516" spans="1:8" x14ac:dyDescent="0.25">
      <c r="A516" s="5"/>
      <c r="C516" s="2">
        <v>515</v>
      </c>
      <c r="D516" s="5">
        <v>1054.1980159090883</v>
      </c>
      <c r="E516" s="5"/>
      <c r="F516" s="2">
        <f>D516*Katelaskelma!$D$41</f>
        <v>12584.947482530832</v>
      </c>
      <c r="G516" s="5">
        <f>D516*Lähtötiedot!$C$11+Katelaskelma!$F$31-Katelaskelma!$F$46</f>
        <v>108564.27634380609</v>
      </c>
      <c r="H516" s="1"/>
    </row>
    <row r="517" spans="1:8" x14ac:dyDescent="0.25">
      <c r="A517" s="5"/>
      <c r="C517" s="2">
        <v>516</v>
      </c>
      <c r="D517" s="5">
        <v>824.43471170876614</v>
      </c>
      <c r="E517" s="5"/>
      <c r="F517" s="2">
        <f>D517*Katelaskelma!$D$41</f>
        <v>9842.0480716641996</v>
      </c>
      <c r="G517" s="5">
        <f>D517*Lähtötiedot!$C$11+Katelaskelma!$F$31-Katelaskelma!$F$46</f>
        <v>75937.887147360336</v>
      </c>
      <c r="H517" s="1"/>
    </row>
    <row r="518" spans="1:8" x14ac:dyDescent="0.25">
      <c r="A518" s="5"/>
      <c r="C518" s="2">
        <v>517</v>
      </c>
      <c r="D518" s="5">
        <v>511.54529051450191</v>
      </c>
      <c r="E518" s="5"/>
      <c r="F518" s="2">
        <f>D518*Katelaskelma!$D$41</f>
        <v>6106.794472108134</v>
      </c>
      <c r="G518" s="5">
        <f>D518*Lähtötiedot!$C$11+Katelaskelma!$F$31-Katelaskelma!$F$46</f>
        <v>31507.589337774814</v>
      </c>
      <c r="H518" s="1"/>
    </row>
    <row r="519" spans="1:8" x14ac:dyDescent="0.25">
      <c r="A519" s="5"/>
      <c r="C519" s="2">
        <v>518</v>
      </c>
      <c r="D519" s="5">
        <v>541.92505661475866</v>
      </c>
      <c r="E519" s="5"/>
      <c r="F519" s="2">
        <f>D519*Katelaskelma!$D$41</f>
        <v>6469.4661477644395</v>
      </c>
      <c r="G519" s="5">
        <f>D519*Lähtötiedot!$C$11+Katelaskelma!$F$31-Katelaskelma!$F$46</f>
        <v>35821.51612401125</v>
      </c>
      <c r="H519" s="1"/>
    </row>
    <row r="520" spans="1:8" x14ac:dyDescent="0.25">
      <c r="A520" s="5"/>
      <c r="C520" s="2">
        <v>519</v>
      </c>
      <c r="D520" s="5">
        <v>307.19101563561054</v>
      </c>
      <c r="E520" s="5"/>
      <c r="F520" s="2">
        <f>D520*Katelaskelma!$D$41</f>
        <v>3667.2264038987337</v>
      </c>
      <c r="G520" s="5">
        <f>D520*Lähtötiedot!$C$11+Katelaskelma!$F$31-Katelaskelma!$F$46</f>
        <v>2489.2823049722356</v>
      </c>
      <c r="H520" s="1"/>
    </row>
    <row r="521" spans="1:8" x14ac:dyDescent="0.25">
      <c r="A521" s="5"/>
      <c r="C521" s="2">
        <v>520</v>
      </c>
      <c r="D521" s="5">
        <v>959.46035437930618</v>
      </c>
      <c r="E521" s="5"/>
      <c r="F521" s="2">
        <f>D521*Katelaskelma!$D$41</f>
        <v>11453.975428915328</v>
      </c>
      <c r="G521" s="5">
        <f>D521*Lähtötiedot!$C$11+Katelaskelma!$F$31-Katelaskelma!$F$46</f>
        <v>95111.52840657701</v>
      </c>
      <c r="H521" s="1"/>
    </row>
    <row r="522" spans="1:8" x14ac:dyDescent="0.25">
      <c r="A522" s="5"/>
      <c r="C522" s="2">
        <v>521</v>
      </c>
      <c r="D522" s="5">
        <v>795.20428824474016</v>
      </c>
      <c r="E522" s="5"/>
      <c r="F522" s="2">
        <f>D522*Katelaskelma!$D$41</f>
        <v>9493.0971737916807</v>
      </c>
      <c r="G522" s="5">
        <f>D522*Lähtötiedot!$C$11+Katelaskelma!$F$31-Katelaskelma!$F$46</f>
        <v>71787.167015468644</v>
      </c>
      <c r="H522" s="1"/>
    </row>
    <row r="523" spans="1:8" x14ac:dyDescent="0.25">
      <c r="A523" s="5"/>
      <c r="C523" s="2">
        <v>522</v>
      </c>
      <c r="D523" s="5">
        <v>1039.8389367779739</v>
      </c>
      <c r="E523" s="5"/>
      <c r="F523" s="2">
        <f>D523*Katelaskelma!$D$41</f>
        <v>12413.529727957706</v>
      </c>
      <c r="G523" s="5">
        <f>D523*Lähtötiedot!$C$11+Katelaskelma!$F$31-Katelaskelma!$F$46</f>
        <v>106525.28710718785</v>
      </c>
      <c r="H523" s="1"/>
    </row>
    <row r="524" spans="1:8" x14ac:dyDescent="0.25">
      <c r="A524" s="5"/>
      <c r="C524" s="2">
        <v>523</v>
      </c>
      <c r="D524" s="5">
        <v>693.61144141058435</v>
      </c>
      <c r="E524" s="5"/>
      <c r="F524" s="2">
        <f>D524*Katelaskelma!$D$41</f>
        <v>8280.2883630047436</v>
      </c>
      <c r="G524" s="5">
        <f>D524*Lähtötiedot!$C$11+Katelaskelma!$F$31-Katelaskelma!$F$46</f>
        <v>57360.982765018503</v>
      </c>
      <c r="H524" s="1"/>
    </row>
    <row r="525" spans="1:8" x14ac:dyDescent="0.25">
      <c r="A525" s="5"/>
      <c r="C525" s="2">
        <v>524</v>
      </c>
      <c r="D525" s="5">
        <v>1004.3701688737185</v>
      </c>
      <c r="E525" s="5"/>
      <c r="F525" s="2">
        <f>D525*Katelaskelma!$D$41</f>
        <v>11990.105879108778</v>
      </c>
      <c r="G525" s="5">
        <f>D525*Lähtötiedot!$C$11+Katelaskelma!$F$31-Katelaskelma!$F$46</f>
        <v>101488.72206478356</v>
      </c>
      <c r="H525" s="1"/>
    </row>
    <row r="526" spans="1:8" x14ac:dyDescent="0.25">
      <c r="A526" s="5"/>
      <c r="C526" s="2">
        <v>525</v>
      </c>
      <c r="D526" s="5">
        <v>1002.0719827310784</v>
      </c>
      <c r="E526" s="5"/>
      <c r="F526" s="2">
        <f>D526*Katelaskelma!$D$41</f>
        <v>11962.670282120613</v>
      </c>
      <c r="G526" s="5">
        <f>D526*Lähtötiedot!$C$11+Katelaskelma!$F$31-Katelaskelma!$F$46</f>
        <v>101162.37963252867</v>
      </c>
      <c r="H526" s="1"/>
    </row>
    <row r="527" spans="1:8" x14ac:dyDescent="0.25">
      <c r="A527" s="5"/>
      <c r="C527" s="2">
        <v>526</v>
      </c>
      <c r="D527" s="5">
        <v>422.94121061136258</v>
      </c>
      <c r="E527" s="5"/>
      <c r="F527" s="2">
        <f>D527*Katelaskelma!$D$41</f>
        <v>5049.0447178009363</v>
      </c>
      <c r="G527" s="5">
        <f>D527*Lähtötiedot!$C$11+Katelaskelma!$F$31-Katelaskelma!$F$46</f>
        <v>18925.809991529022</v>
      </c>
      <c r="H527" s="1"/>
    </row>
    <row r="528" spans="1:8" x14ac:dyDescent="0.25">
      <c r="A528" s="5"/>
      <c r="C528" s="2">
        <v>527</v>
      </c>
      <c r="D528" s="5">
        <v>1546.7850867399454</v>
      </c>
      <c r="E528" s="5"/>
      <c r="F528" s="2">
        <f>D528*Katelaskelma!$D$41</f>
        <v>18465.419958694773</v>
      </c>
      <c r="G528" s="5">
        <f>D528*Lähtötiedot!$C$11+Katelaskelma!$F$31-Katelaskelma!$F$46</f>
        <v>178511.64040178776</v>
      </c>
      <c r="H528" s="1"/>
    </row>
    <row r="529" spans="1:8" x14ac:dyDescent="0.25">
      <c r="A529" s="5"/>
      <c r="C529" s="2">
        <v>528</v>
      </c>
      <c r="D529" s="5">
        <v>1011.114454228896</v>
      </c>
      <c r="E529" s="5"/>
      <c r="F529" s="2">
        <f>D529*Katelaskelma!$D$41</f>
        <v>12070.618719885581</v>
      </c>
      <c r="G529" s="5">
        <f>D529*Lähtötiedot!$C$11+Katelaskelma!$F$31-Katelaskelma!$F$46</f>
        <v>102446.41058521878</v>
      </c>
      <c r="H529" s="1"/>
    </row>
    <row r="530" spans="1:8" x14ac:dyDescent="0.25">
      <c r="A530" s="5"/>
      <c r="C530" s="2">
        <v>529</v>
      </c>
      <c r="D530" s="5">
        <v>535.25390159195763</v>
      </c>
      <c r="E530" s="5"/>
      <c r="F530" s="2">
        <f>D530*Katelaskelma!$D$41</f>
        <v>6389.826332148421</v>
      </c>
      <c r="G530" s="5">
        <f>D530*Lähtötiedot!$C$11+Katelaskelma!$F$31-Katelaskelma!$F$46</f>
        <v>34874.212110773515</v>
      </c>
      <c r="H530" s="1"/>
    </row>
    <row r="531" spans="1:8" x14ac:dyDescent="0.25">
      <c r="A531" s="5"/>
      <c r="C531" s="2">
        <v>530</v>
      </c>
      <c r="D531" s="5">
        <v>786.30662422811361</v>
      </c>
      <c r="E531" s="5"/>
      <c r="F531" s="2">
        <f>D531*Katelaskelma!$D$41</f>
        <v>9386.8774383372493</v>
      </c>
      <c r="G531" s="5">
        <f>D531*Lähtötiedot!$C$11+Katelaskelma!$F$31-Katelaskelma!$F$46</f>
        <v>70523.698725107679</v>
      </c>
      <c r="H531" s="1"/>
    </row>
    <row r="532" spans="1:8" x14ac:dyDescent="0.25">
      <c r="A532" s="5"/>
      <c r="C532" s="2">
        <v>531</v>
      </c>
      <c r="D532" s="5">
        <v>1305.5286765983358</v>
      </c>
      <c r="E532" s="5"/>
      <c r="F532" s="2">
        <f>D532*Katelaskelma!$D$41</f>
        <v>15585.316595155611</v>
      </c>
      <c r="G532" s="5">
        <f>D532*Lähtötiedot!$C$11+Katelaskelma!$F$31-Katelaskelma!$F$46</f>
        <v>144253.23016167921</v>
      </c>
      <c r="H532" s="1"/>
    </row>
    <row r="533" spans="1:8" x14ac:dyDescent="0.25">
      <c r="A533" s="5"/>
      <c r="C533" s="2">
        <v>532</v>
      </c>
      <c r="D533" s="5">
        <v>557.49862575372867</v>
      </c>
      <c r="E533" s="5"/>
      <c r="F533" s="2">
        <f>D533*Katelaskelma!$D$41</f>
        <v>6655.382405214883</v>
      </c>
      <c r="G533" s="5">
        <f>D533*Lähtötiedot!$C$11+Katelaskelma!$F$31-Katelaskelma!$F$46</f>
        <v>38032.962941745005</v>
      </c>
      <c r="H533" s="1"/>
    </row>
    <row r="534" spans="1:8" x14ac:dyDescent="0.25">
      <c r="A534" s="5"/>
      <c r="C534" s="2">
        <v>533</v>
      </c>
      <c r="D534" s="5">
        <v>865.74910786300302</v>
      </c>
      <c r="E534" s="5"/>
      <c r="F534" s="2">
        <f>D534*Katelaskelma!$D$41</f>
        <v>10335.256651102831</v>
      </c>
      <c r="G534" s="5">
        <f>D534*Lähtötiedot!$C$11+Katelaskelma!$F$31-Katelaskelma!$F$46</f>
        <v>81804.531401261949</v>
      </c>
      <c r="H534" s="1"/>
    </row>
    <row r="535" spans="1:8" x14ac:dyDescent="0.25">
      <c r="A535" s="5"/>
      <c r="C535" s="2">
        <v>534</v>
      </c>
      <c r="D535" s="5">
        <v>850.95157105837166</v>
      </c>
      <c r="E535" s="5"/>
      <c r="F535" s="2">
        <f>D535*Katelaskelma!$D$41</f>
        <v>10158.604617284962</v>
      </c>
      <c r="G535" s="5">
        <f>D535*Lähtötiedot!$C$11+Katelaskelma!$F$31-Katelaskelma!$F$46</f>
        <v>79703.281175004318</v>
      </c>
      <c r="H535" s="1"/>
    </row>
    <row r="536" spans="1:8" x14ac:dyDescent="0.25">
      <c r="A536" s="5"/>
      <c r="C536" s="2">
        <v>535</v>
      </c>
      <c r="D536" s="5">
        <v>497.05198534699713</v>
      </c>
      <c r="E536" s="5"/>
      <c r="F536" s="2">
        <f>D536*Katelaskelma!$D$41</f>
        <v>5933.7743358256257</v>
      </c>
      <c r="G536" s="5">
        <f>D536*Lähtötiedot!$C$11+Katelaskelma!$F$31-Katelaskelma!$F$46</f>
        <v>29449.540003989125</v>
      </c>
      <c r="H536" s="1"/>
    </row>
    <row r="537" spans="1:8" x14ac:dyDescent="0.25">
      <c r="A537" s="5"/>
      <c r="C537" s="2">
        <v>536</v>
      </c>
      <c r="D537" s="5">
        <v>840.7264421889297</v>
      </c>
      <c r="E537" s="5"/>
      <c r="F537" s="2">
        <f>D537*Katelaskelma!$D$41</f>
        <v>10036.537692587643</v>
      </c>
      <c r="G537" s="5">
        <f>D537*Lähtötiedot!$C$11+Katelaskelma!$F$31-Katelaskelma!$F$46</f>
        <v>78251.312875543546</v>
      </c>
      <c r="H537" s="1"/>
    </row>
    <row r="538" spans="1:8" x14ac:dyDescent="0.25">
      <c r="A538" s="5"/>
      <c r="C538" s="2">
        <v>537</v>
      </c>
      <c r="D538" s="5">
        <v>880.87672960224995</v>
      </c>
      <c r="E538" s="5"/>
      <c r="F538" s="2">
        <f>D538*Katelaskelma!$D$41</f>
        <v>10515.849217443263</v>
      </c>
      <c r="G538" s="5">
        <f>D538*Lähtötiedot!$C$11+Katelaskelma!$F$31-Katelaskelma!$F$46</f>
        <v>83952.653688235034</v>
      </c>
      <c r="H538" s="1"/>
    </row>
    <row r="539" spans="1:8" x14ac:dyDescent="0.25">
      <c r="A539" s="5"/>
      <c r="C539" s="2">
        <v>538</v>
      </c>
      <c r="D539" s="5">
        <v>1235.6411268754653</v>
      </c>
      <c r="E539" s="5"/>
      <c r="F539" s="2">
        <f>D539*Katelaskelma!$D$41</f>
        <v>14751.003563190148</v>
      </c>
      <c r="G539" s="5">
        <f>D539*Lähtötiedot!$C$11+Katelaskelma!$F$31-Katelaskelma!$F$46</f>
        <v>134329.19810103162</v>
      </c>
      <c r="H539" s="1"/>
    </row>
    <row r="540" spans="1:8" x14ac:dyDescent="0.25">
      <c r="A540" s="5"/>
      <c r="C540" s="2">
        <v>539</v>
      </c>
      <c r="D540" s="5">
        <v>389.09110359522703</v>
      </c>
      <c r="E540" s="5"/>
      <c r="F540" s="2">
        <f>D540*Katelaskelma!$D$41</f>
        <v>4644.9443375618866</v>
      </c>
      <c r="G540" s="5">
        <f>D540*Lähtötiedot!$C$11+Katelaskelma!$F$31-Katelaskelma!$F$46</f>
        <v>14119.094795237776</v>
      </c>
      <c r="H540" s="1"/>
    </row>
    <row r="541" spans="1:8" x14ac:dyDescent="0.25">
      <c r="A541" s="5"/>
      <c r="C541" s="2">
        <v>540</v>
      </c>
      <c r="D541" s="5">
        <v>861.8304212690407</v>
      </c>
      <c r="E541" s="5"/>
      <c r="F541" s="2">
        <f>D541*Katelaskelma!$D$41</f>
        <v>10288.475624918688</v>
      </c>
      <c r="G541" s="5">
        <f>D541*Lähtötiedot!$C$11+Katelaskelma!$F$31-Katelaskelma!$F$46</f>
        <v>81248.077904919308</v>
      </c>
      <c r="H541" s="1"/>
    </row>
    <row r="542" spans="1:8" x14ac:dyDescent="0.25">
      <c r="A542" s="5"/>
      <c r="C542" s="2">
        <v>541</v>
      </c>
      <c r="D542" s="5">
        <v>883.64568286238023</v>
      </c>
      <c r="E542" s="5"/>
      <c r="F542" s="2">
        <f>D542*Katelaskelma!$D$41</f>
        <v>10548.904801721015</v>
      </c>
      <c r="G542" s="5">
        <f>D542*Lähtötiedot!$C$11+Katelaskelma!$F$31-Katelaskelma!$F$46</f>
        <v>84345.845051173528</v>
      </c>
      <c r="H542" s="1"/>
    </row>
    <row r="543" spans="1:8" x14ac:dyDescent="0.25">
      <c r="A543" s="5"/>
      <c r="C543" s="2">
        <v>542</v>
      </c>
      <c r="D543" s="5">
        <v>528.42701649449214</v>
      </c>
      <c r="E543" s="5"/>
      <c r="F543" s="2">
        <f>D543*Katelaskelma!$D$41</f>
        <v>6308.3274210099989</v>
      </c>
      <c r="G543" s="5">
        <f>D543*Lähtötiedot!$C$11+Katelaskelma!$F$31-Katelaskelma!$F$46</f>
        <v>33904.794426933426</v>
      </c>
      <c r="H543" s="1"/>
    </row>
    <row r="544" spans="1:8" x14ac:dyDescent="0.25">
      <c r="A544" s="5"/>
      <c r="C544" s="2">
        <v>543</v>
      </c>
      <c r="D544" s="5">
        <v>518.36065748887609</v>
      </c>
      <c r="E544" s="5"/>
      <c r="F544" s="2">
        <f>D544*Katelaskelma!$D$41</f>
        <v>6188.1558806407702</v>
      </c>
      <c r="G544" s="5">
        <f>D544*Lähtötiedot!$C$11+Katelaskelma!$F$31-Katelaskelma!$F$46</f>
        <v>32475.371448135935</v>
      </c>
      <c r="H544" s="1"/>
    </row>
    <row r="545" spans="1:8" x14ac:dyDescent="0.25">
      <c r="A545" s="5"/>
      <c r="C545" s="2">
        <v>544</v>
      </c>
      <c r="D545" s="5">
        <v>996.99850608211341</v>
      </c>
      <c r="E545" s="5"/>
      <c r="F545" s="2">
        <f>D545*Katelaskelma!$D$41</f>
        <v>11902.103447220994</v>
      </c>
      <c r="G545" s="5">
        <f>D545*Lähtötiedot!$C$11+Katelaskelma!$F$31-Katelaskelma!$F$46</f>
        <v>100441.94594837565</v>
      </c>
      <c r="H545" s="1"/>
    </row>
    <row r="546" spans="1:8" x14ac:dyDescent="0.25">
      <c r="A546" s="5"/>
      <c r="C546" s="2">
        <v>545</v>
      </c>
      <c r="D546" s="5">
        <v>985.86790653824187</v>
      </c>
      <c r="E546" s="5"/>
      <c r="F546" s="2">
        <f>D546*Katelaskelma!$D$41</f>
        <v>11769.227072389356</v>
      </c>
      <c r="G546" s="5">
        <f>D546*Lähtötiedot!$C$11+Katelaskelma!$F$31-Katelaskelma!$F$46</f>
        <v>98861.400813145883</v>
      </c>
      <c r="H546" s="1"/>
    </row>
    <row r="547" spans="1:8" x14ac:dyDescent="0.25">
      <c r="A547" s="5"/>
      <c r="C547" s="2">
        <v>546</v>
      </c>
      <c r="D547" s="5">
        <v>814.43296415167947</v>
      </c>
      <c r="E547" s="5"/>
      <c r="F547" s="2">
        <f>D547*Katelaskelma!$D$41</f>
        <v>9722.6478585733785</v>
      </c>
      <c r="G547" s="5">
        <f>D547*Lähtötiedot!$C$11+Katelaskelma!$F$31-Katelaskelma!$F$46</f>
        <v>74517.638994254026</v>
      </c>
      <c r="H547" s="1"/>
    </row>
    <row r="548" spans="1:8" x14ac:dyDescent="0.25">
      <c r="A548" s="5"/>
      <c r="C548" s="2">
        <v>547</v>
      </c>
      <c r="D548" s="5">
        <v>1520.2934542162641</v>
      </c>
      <c r="E548" s="5"/>
      <c r="F548" s="2">
        <f>D548*Katelaskelma!$D$41</f>
        <v>18149.164569284338</v>
      </c>
      <c r="G548" s="5">
        <f>D548*Lähtötiedot!$C$11+Katelaskelma!$F$31-Katelaskelma!$F$46</f>
        <v>174749.82858342503</v>
      </c>
      <c r="H548" s="1"/>
    </row>
    <row r="549" spans="1:8" x14ac:dyDescent="0.25">
      <c r="A549" s="5"/>
      <c r="C549" s="2">
        <v>548</v>
      </c>
      <c r="D549" s="5">
        <v>507.4908470625158</v>
      </c>
      <c r="E549" s="5"/>
      <c r="F549" s="2">
        <f>D549*Katelaskelma!$D$41</f>
        <v>6058.3927893653199</v>
      </c>
      <c r="G549" s="5">
        <f>D549*Lähtötiedot!$C$11+Katelaskelma!$F$31-Katelaskelma!$F$46</f>
        <v>30931.858367592766</v>
      </c>
      <c r="H549" s="1"/>
    </row>
    <row r="550" spans="1:8" x14ac:dyDescent="0.25">
      <c r="A550" s="5"/>
      <c r="C550" s="2">
        <v>549</v>
      </c>
      <c r="D550" s="5">
        <v>898.50487262562706</v>
      </c>
      <c r="E550" s="5"/>
      <c r="F550" s="2">
        <f>D550*Katelaskelma!$D$41</f>
        <v>10726.292844556743</v>
      </c>
      <c r="G550" s="5">
        <f>D550*Lähtötiedot!$C$11+Katelaskelma!$F$31-Katelaskelma!$F$46</f>
        <v>86455.849997554586</v>
      </c>
      <c r="H550" s="1"/>
    </row>
    <row r="551" spans="1:8" x14ac:dyDescent="0.25">
      <c r="A551" s="5"/>
      <c r="C551" s="2">
        <v>550</v>
      </c>
      <c r="D551" s="5">
        <v>481.68600209731932</v>
      </c>
      <c r="E551" s="5"/>
      <c r="F551" s="2">
        <f>D551*Katelaskelma!$D$41</f>
        <v>5750.3362252464831</v>
      </c>
      <c r="G551" s="5">
        <f>D551*Lähtötiedot!$C$11+Katelaskelma!$F$31-Katelaskelma!$F$46</f>
        <v>27267.570382534876</v>
      </c>
      <c r="H551" s="1"/>
    </row>
    <row r="552" spans="1:8" x14ac:dyDescent="0.25">
      <c r="A552" s="5"/>
      <c r="C552" s="2">
        <v>551</v>
      </c>
      <c r="D552" s="5">
        <v>1159.6008477875096</v>
      </c>
      <c r="E552" s="5"/>
      <c r="F552" s="2">
        <f>D552*Katelaskelma!$D$41</f>
        <v>13843.239647457796</v>
      </c>
      <c r="G552" s="5">
        <f>D552*Lähtötiedot!$C$11+Katelaskelma!$F$31-Katelaskelma!$F$46</f>
        <v>123531.47847054189</v>
      </c>
      <c r="H552" s="1"/>
    </row>
    <row r="553" spans="1:8" x14ac:dyDescent="0.25">
      <c r="A553" s="5"/>
      <c r="C553" s="2">
        <v>552</v>
      </c>
      <c r="D553" s="5">
        <v>1277.8606723951564</v>
      </c>
      <c r="E553" s="5"/>
      <c r="F553" s="2">
        <f>D553*Katelaskelma!$D$41</f>
        <v>15255.017756997408</v>
      </c>
      <c r="G553" s="5">
        <f>D553*Lähtötiedot!$C$11+Katelaskelma!$F$31-Katelaskelma!$F$46</f>
        <v>140324.37356482775</v>
      </c>
      <c r="H553" s="1"/>
    </row>
    <row r="554" spans="1:8" x14ac:dyDescent="0.25">
      <c r="A554" s="5"/>
      <c r="C554" s="2">
        <v>553</v>
      </c>
      <c r="D554" s="5">
        <v>1035.1694790129138</v>
      </c>
      <c r="E554" s="5"/>
      <c r="F554" s="2">
        <f>D554*Katelaskelma!$D$41</f>
        <v>12357.786044267976</v>
      </c>
      <c r="G554" s="5">
        <f>D554*Lähtötiedot!$C$11+Katelaskelma!$F$31-Katelaskelma!$F$46</f>
        <v>105862.2241045493</v>
      </c>
      <c r="H554" s="1"/>
    </row>
    <row r="555" spans="1:8" x14ac:dyDescent="0.25">
      <c r="A555" s="5"/>
      <c r="C555" s="2">
        <v>554</v>
      </c>
      <c r="D555" s="5">
        <v>563.4862731650212</v>
      </c>
      <c r="E555" s="5"/>
      <c r="F555" s="2">
        <f>D555*Katelaskelma!$D$41</f>
        <v>6726.8625513333955</v>
      </c>
      <c r="G555" s="5">
        <f>D555*Lähtötiedot!$C$11+Katelaskelma!$F$31-Katelaskelma!$F$46</f>
        <v>38883.20887414855</v>
      </c>
      <c r="H555" s="1"/>
    </row>
    <row r="556" spans="1:8" x14ac:dyDescent="0.25">
      <c r="A556" s="5"/>
      <c r="C556" s="2">
        <v>555</v>
      </c>
      <c r="D556" s="5">
        <v>959.4375833067686</v>
      </c>
      <c r="E556" s="5"/>
      <c r="F556" s="2">
        <f>D556*Katelaskelma!$D$41</f>
        <v>11453.703589329518</v>
      </c>
      <c r="G556" s="5">
        <f>D556*Lähtötiedot!$C$11+Katelaskelma!$F$31-Katelaskelma!$F$46</f>
        <v>95108.294914276688</v>
      </c>
      <c r="H556" s="1"/>
    </row>
    <row r="557" spans="1:8" x14ac:dyDescent="0.25">
      <c r="A557" s="5"/>
      <c r="C557" s="2">
        <v>556</v>
      </c>
      <c r="D557" s="5">
        <v>732.49921784277808</v>
      </c>
      <c r="E557" s="5"/>
      <c r="F557" s="2">
        <f>D557*Katelaskelma!$D$41</f>
        <v>8744.5281137213333</v>
      </c>
      <c r="G557" s="5">
        <f>D557*Lähtötiedot!$C$11+Katelaskelma!$F$31-Katelaskelma!$F$46</f>
        <v>62883.047018390032</v>
      </c>
      <c r="H557" s="1"/>
    </row>
    <row r="558" spans="1:8" x14ac:dyDescent="0.25">
      <c r="A558" s="5"/>
      <c r="C558" s="2">
        <v>557</v>
      </c>
      <c r="D558" s="5">
        <v>1219.0485619797062</v>
      </c>
      <c r="E558" s="5"/>
      <c r="F558" s="2">
        <f>D558*Katelaskelma!$D$41</f>
        <v>14552.922600541457</v>
      </c>
      <c r="G558" s="5">
        <f>D558*Lähtötiedot!$C$11+Katelaskelma!$F$31-Katelaskelma!$F$46</f>
        <v>131973.05388583383</v>
      </c>
      <c r="H558" s="1"/>
    </row>
    <row r="559" spans="1:8" x14ac:dyDescent="0.25">
      <c r="A559" s="5"/>
      <c r="C559" s="2">
        <v>558</v>
      </c>
      <c r="D559" s="5">
        <v>720.21627691065737</v>
      </c>
      <c r="E559" s="5"/>
      <c r="F559" s="2">
        <f>D559*Katelaskelma!$D$41</f>
        <v>8597.8951621989727</v>
      </c>
      <c r="G559" s="5">
        <f>D559*Lähtötiedot!$C$11+Katelaskelma!$F$31-Katelaskelma!$F$46</f>
        <v>61138.869406028884</v>
      </c>
      <c r="H559" s="1"/>
    </row>
    <row r="560" spans="1:8" x14ac:dyDescent="0.25">
      <c r="A560" s="5"/>
      <c r="C560" s="2">
        <v>559</v>
      </c>
      <c r="D560" s="5">
        <v>623.9392661133154</v>
      </c>
      <c r="E560" s="5"/>
      <c r="F560" s="2">
        <f>D560*Katelaskelma!$D$41</f>
        <v>7448.5464569514643</v>
      </c>
      <c r="G560" s="5">
        <f>D560*Lähtötiedot!$C$11+Katelaskelma!$F$31-Katelaskelma!$F$46</f>
        <v>47467.533872806322</v>
      </c>
      <c r="H560" s="1"/>
    </row>
    <row r="561" spans="1:8" x14ac:dyDescent="0.25">
      <c r="A561" s="5"/>
      <c r="C561" s="2">
        <v>560</v>
      </c>
      <c r="D561" s="5">
        <v>798.47510143512386</v>
      </c>
      <c r="E561" s="5"/>
      <c r="F561" s="2">
        <f>D561*Katelaskelma!$D$41</f>
        <v>9532.1439293394524</v>
      </c>
      <c r="G561" s="5">
        <f>D561*Lähtötiedot!$C$11+Katelaskelma!$F$31-Katelaskelma!$F$46</f>
        <v>72251.622488503112</v>
      </c>
      <c r="H561" s="1"/>
    </row>
    <row r="562" spans="1:8" x14ac:dyDescent="0.25">
      <c r="A562" s="5"/>
      <c r="C562" s="2">
        <v>561</v>
      </c>
      <c r="D562" s="5">
        <v>964.34776026054146</v>
      </c>
      <c r="E562" s="5"/>
      <c r="F562" s="2">
        <f>D562*Katelaskelma!$D$41</f>
        <v>11512.320963068243</v>
      </c>
      <c r="G562" s="5">
        <f>D562*Lähtötiedot!$C$11+Katelaskelma!$F$31-Katelaskelma!$F$46</f>
        <v>95805.540041712433</v>
      </c>
      <c r="H562" s="1"/>
    </row>
    <row r="563" spans="1:8" x14ac:dyDescent="0.25">
      <c r="A563" s="5"/>
      <c r="C563" s="2">
        <v>562</v>
      </c>
      <c r="D563" s="5">
        <v>1003.7260913970883</v>
      </c>
      <c r="E563" s="5"/>
      <c r="F563" s="2">
        <f>D563*Katelaskelma!$D$41</f>
        <v>11982.416924001913</v>
      </c>
      <c r="G563" s="5">
        <f>D563*Lähtötiedot!$C$11+Katelaskelma!$F$31-Katelaskelma!$F$46</f>
        <v>101397.26306310209</v>
      </c>
      <c r="H563" s="1"/>
    </row>
    <row r="564" spans="1:8" x14ac:dyDescent="0.25">
      <c r="A564" s="5"/>
      <c r="C564" s="2">
        <v>563</v>
      </c>
      <c r="D564" s="5">
        <v>763.21194766547001</v>
      </c>
      <c r="E564" s="5"/>
      <c r="F564" s="2">
        <f>D564*Katelaskelma!$D$41</f>
        <v>9111.1746886823221</v>
      </c>
      <c r="G564" s="5">
        <f>D564*Lähtötiedot!$C$11+Katelaskelma!$F$31-Katelaskelma!$F$46</f>
        <v>67244.254653212265</v>
      </c>
      <c r="H564" s="1"/>
    </row>
    <row r="565" spans="1:8" x14ac:dyDescent="0.25">
      <c r="A565" s="5"/>
      <c r="C565" s="2">
        <v>564</v>
      </c>
      <c r="D565" s="5">
        <v>1031.9763449898471</v>
      </c>
      <c r="E565" s="5"/>
      <c r="F565" s="2">
        <f>D565*Katelaskelma!$D$41</f>
        <v>12319.66661757723</v>
      </c>
      <c r="G565" s="5">
        <f>D565*Lähtötiedot!$C$11+Katelaskelma!$F$31-Katelaskelma!$F$46</f>
        <v>105408.79907327384</v>
      </c>
      <c r="H565" s="1"/>
    </row>
    <row r="566" spans="1:8" x14ac:dyDescent="0.25">
      <c r="A566" s="5"/>
      <c r="C566" s="2">
        <v>565</v>
      </c>
      <c r="D566" s="5">
        <v>1296.8065955928043</v>
      </c>
      <c r="E566" s="5"/>
      <c r="F566" s="2">
        <f>D566*Katelaskelma!$D$41</f>
        <v>15481.192958289974</v>
      </c>
      <c r="G566" s="5">
        <f>D566*Lähtötiedot!$C$11+Katelaskelma!$F$31-Katelaskelma!$F$46</f>
        <v>143014.69465889377</v>
      </c>
      <c r="H566" s="1"/>
    </row>
    <row r="567" spans="1:8" x14ac:dyDescent="0.25">
      <c r="A567" s="5"/>
      <c r="C567" s="2">
        <v>566</v>
      </c>
      <c r="D567" s="5">
        <v>716.92631117921223</v>
      </c>
      <c r="E567" s="5"/>
      <c r="F567" s="2">
        <f>D567*Katelaskelma!$D$41</f>
        <v>8558.6197648592624</v>
      </c>
      <c r="G567" s="5">
        <f>D567*Lähtötiedot!$C$11+Katelaskelma!$F$31-Katelaskelma!$F$46</f>
        <v>60671.694272163673</v>
      </c>
      <c r="H567" s="1"/>
    </row>
    <row r="568" spans="1:8" x14ac:dyDescent="0.25">
      <c r="A568" s="5"/>
      <c r="C568" s="2">
        <v>567</v>
      </c>
      <c r="D568" s="5">
        <v>779.13386657595879</v>
      </c>
      <c r="E568" s="5"/>
      <c r="F568" s="2">
        <f>D568*Katelaskelma!$D$41</f>
        <v>9301.2495230926488</v>
      </c>
      <c r="G568" s="5">
        <f>D568*Lähtötiedot!$C$11+Katelaskelma!$F$31-Katelaskelma!$F$46</f>
        <v>69505.167138501682</v>
      </c>
      <c r="H568" s="1"/>
    </row>
    <row r="569" spans="1:8" x14ac:dyDescent="0.25">
      <c r="A569" s="5"/>
      <c r="C569" s="2">
        <v>568</v>
      </c>
      <c r="D569" s="5">
        <v>852.60945928636261</v>
      </c>
      <c r="E569" s="5"/>
      <c r="F569" s="2">
        <f>D569*Katelaskelma!$D$41</f>
        <v>10178.396379331847</v>
      </c>
      <c r="G569" s="5">
        <f>D569*Lähtötiedot!$C$11+Katelaskelma!$F$31-Katelaskelma!$F$46</f>
        <v>79938.701303379028</v>
      </c>
      <c r="H569" s="1"/>
    </row>
    <row r="570" spans="1:8" x14ac:dyDescent="0.25">
      <c r="A570" s="5"/>
      <c r="C570" s="2">
        <v>569</v>
      </c>
      <c r="D570" s="5">
        <v>891.68988264630138</v>
      </c>
      <c r="E570" s="5"/>
      <c r="F570" s="2">
        <f>D570*Katelaskelma!$D$41</f>
        <v>10644.935936566524</v>
      </c>
      <c r="G570" s="5">
        <f>D570*Lähtötiedot!$C$11+Katelaskelma!$F$31-Katelaskelma!$F$46</f>
        <v>85488.121420490323</v>
      </c>
      <c r="H570" s="1"/>
    </row>
    <row r="571" spans="1:8" x14ac:dyDescent="0.25">
      <c r="A571" s="5"/>
      <c r="C571" s="2">
        <v>570</v>
      </c>
      <c r="D571" s="5">
        <v>552.99540239378598</v>
      </c>
      <c r="E571" s="5"/>
      <c r="F571" s="2">
        <f>D571*Katelaskelma!$D$41</f>
        <v>6601.6232170626336</v>
      </c>
      <c r="G571" s="5">
        <f>D571*Lähtötiedot!$C$11+Katelaskelma!$F$31-Katelaskelma!$F$46</f>
        <v>37393.505224633147</v>
      </c>
      <c r="H571" s="1"/>
    </row>
    <row r="572" spans="1:8" x14ac:dyDescent="0.25">
      <c r="A572" s="5"/>
      <c r="C572" s="2">
        <v>571</v>
      </c>
      <c r="D572" s="5">
        <v>198.15166850867337</v>
      </c>
      <c r="E572" s="5"/>
      <c r="F572" s="2">
        <f>D572*Katelaskelma!$D$41</f>
        <v>2365.5217559929142</v>
      </c>
      <c r="G572" s="5">
        <f>D572*Lähtötiedot!$C$11+Katelaskelma!$F$31-Katelaskelma!$F$46</f>
        <v>-12994.304987052848</v>
      </c>
      <c r="H572" s="1"/>
    </row>
    <row r="573" spans="1:8" x14ac:dyDescent="0.25">
      <c r="A573" s="5"/>
      <c r="C573" s="2">
        <v>572</v>
      </c>
      <c r="D573" s="5">
        <v>874.46409972819015</v>
      </c>
      <c r="E573" s="5"/>
      <c r="F573" s="2">
        <f>D573*Katelaskelma!$D$41</f>
        <v>10439.295658271216</v>
      </c>
      <c r="G573" s="5">
        <f>D573*Lähtötiedot!$C$11+Katelaskelma!$F$31-Katelaskelma!$F$46</f>
        <v>83042.060246118548</v>
      </c>
      <c r="H573" s="1"/>
    </row>
    <row r="574" spans="1:8" x14ac:dyDescent="0.25">
      <c r="A574" s="5"/>
      <c r="C574" s="2">
        <v>573</v>
      </c>
      <c r="D574" s="5">
        <v>1034.0972413651227</v>
      </c>
      <c r="E574" s="5"/>
      <c r="F574" s="2">
        <f>D574*Katelaskelma!$D$41</f>
        <v>12344.985740831049</v>
      </c>
      <c r="G574" s="5">
        <f>D574*Lähtötiedot!$C$11+Katelaskelma!$F$31-Katelaskelma!$F$46</f>
        <v>105709.96635856296</v>
      </c>
      <c r="H574" s="1"/>
    </row>
    <row r="575" spans="1:8" x14ac:dyDescent="0.25">
      <c r="A575" s="5"/>
      <c r="C575" s="2">
        <v>574</v>
      </c>
      <c r="D575" s="5">
        <v>1152.3348468812749</v>
      </c>
      <c r="E575" s="5"/>
      <c r="F575" s="2">
        <f>D575*Katelaskelma!$D$41</f>
        <v>13756.49860029871</v>
      </c>
      <c r="G575" s="5">
        <f>D575*Lähtötiedot!$C$11+Katelaskelma!$F$31-Katelaskelma!$F$46</f>
        <v>122499.70634185657</v>
      </c>
      <c r="H575" s="1"/>
    </row>
    <row r="576" spans="1:8" x14ac:dyDescent="0.25">
      <c r="A576" s="5"/>
      <c r="C576" s="2">
        <v>575</v>
      </c>
      <c r="D576" s="5">
        <v>790.99976217354492</v>
      </c>
      <c r="E576" s="5"/>
      <c r="F576" s="2">
        <f>D576*Katelaskelma!$D$41</f>
        <v>9442.9038144830938</v>
      </c>
      <c r="G576" s="5">
        <f>D576*Lähtötiedot!$C$11+Katelaskelma!$F$31-Katelaskelma!$F$46</f>
        <v>71190.124313358916</v>
      </c>
      <c r="H576" s="1"/>
    </row>
    <row r="577" spans="1:8" x14ac:dyDescent="0.25">
      <c r="A577" s="5"/>
      <c r="C577" s="2">
        <v>576</v>
      </c>
      <c r="D577" s="5">
        <v>755.68768921350352</v>
      </c>
      <c r="E577" s="5"/>
      <c r="F577" s="2">
        <f>D577*Katelaskelma!$D$41</f>
        <v>9021.3505797066191</v>
      </c>
      <c r="G577" s="5">
        <f>D577*Lähtötiedot!$C$11+Katelaskelma!$F$31-Katelaskelma!$F$46</f>
        <v>66175.809953033022</v>
      </c>
      <c r="H577" s="1"/>
    </row>
    <row r="578" spans="1:8" x14ac:dyDescent="0.25">
      <c r="A578" s="5"/>
      <c r="C578" s="2">
        <v>577</v>
      </c>
      <c r="D578" s="5">
        <v>1432.1011392171756</v>
      </c>
      <c r="E578" s="5"/>
      <c r="F578" s="2">
        <f>D578*Katelaskelma!$D$41</f>
        <v>17096.330437672714</v>
      </c>
      <c r="G578" s="5">
        <f>D578*Lähtötiedot!$C$11+Katelaskelma!$F$31-Katelaskelma!$F$46</f>
        <v>162226.51985355449</v>
      </c>
      <c r="H578" s="1"/>
    </row>
    <row r="579" spans="1:8" x14ac:dyDescent="0.25">
      <c r="A579" s="5"/>
      <c r="C579" s="2">
        <v>578</v>
      </c>
      <c r="D579" s="5">
        <v>724.53935571737634</v>
      </c>
      <c r="E579" s="5"/>
      <c r="F579" s="2">
        <f>D579*Katelaskelma!$D$41</f>
        <v>8649.5037963686009</v>
      </c>
      <c r="G579" s="5">
        <f>D579*Lähtötiedot!$C$11+Katelaskelma!$F$31-Katelaskelma!$F$46</f>
        <v>61752.746596582962</v>
      </c>
      <c r="H579" s="1"/>
    </row>
    <row r="580" spans="1:8" x14ac:dyDescent="0.25">
      <c r="A580" s="5"/>
      <c r="C580" s="2">
        <v>579</v>
      </c>
      <c r="D580" s="5">
        <v>779.45729875534857</v>
      </c>
      <c r="E580" s="5"/>
      <c r="F580" s="2">
        <f>D580*Katelaskelma!$D$41</f>
        <v>9305.1106354551794</v>
      </c>
      <c r="G580" s="5">
        <f>D580*Lähtötiedot!$C$11+Katelaskelma!$F$31-Katelaskelma!$F$46</f>
        <v>69551.094507975038</v>
      </c>
      <c r="H580" s="1"/>
    </row>
    <row r="581" spans="1:8" x14ac:dyDescent="0.25">
      <c r="A581" s="5"/>
      <c r="C581" s="2">
        <v>580</v>
      </c>
      <c r="D581" s="5">
        <v>1302.3752778810615</v>
      </c>
      <c r="E581" s="5"/>
      <c r="F581" s="2">
        <f>D581*Katelaskelma!$D$41</f>
        <v>15547.671525966067</v>
      </c>
      <c r="G581" s="5">
        <f>D581*Lähtötiedot!$C$11+Katelaskelma!$F$31-Katelaskelma!$F$46</f>
        <v>143805.44754382627</v>
      </c>
      <c r="H581" s="1"/>
    </row>
    <row r="582" spans="1:8" x14ac:dyDescent="0.25">
      <c r="A582" s="5"/>
      <c r="C582" s="2">
        <v>581</v>
      </c>
      <c r="D582" s="5">
        <v>547.26109785940639</v>
      </c>
      <c r="E582" s="5"/>
      <c r="F582" s="2">
        <f>D582*Katelaskelma!$D$41</f>
        <v>6533.1674617634044</v>
      </c>
      <c r="G582" s="5">
        <f>D582*Lähtötiedot!$C$11+Katelaskelma!$F$31-Katelaskelma!$F$46</f>
        <v>36579.233980751247</v>
      </c>
      <c r="H582" s="1"/>
    </row>
    <row r="583" spans="1:8" x14ac:dyDescent="0.25">
      <c r="A583" s="5"/>
      <c r="C583" s="2">
        <v>582</v>
      </c>
      <c r="D583" s="5">
        <v>457.01782661115959</v>
      </c>
      <c r="E583" s="5"/>
      <c r="F583" s="2">
        <f>D583*Katelaskelma!$D$41</f>
        <v>5455.8491475835081</v>
      </c>
      <c r="G583" s="5">
        <f>D583*Lähtötiedot!$C$11+Katelaskelma!$F$31-Katelaskelma!$F$46</f>
        <v>23764.689463500195</v>
      </c>
      <c r="H583" s="1"/>
    </row>
    <row r="584" spans="1:8" x14ac:dyDescent="0.25">
      <c r="A584" s="5"/>
      <c r="C584" s="2">
        <v>583</v>
      </c>
      <c r="D584" s="5">
        <v>803.61819712426609</v>
      </c>
      <c r="E584" s="5"/>
      <c r="F584" s="2">
        <f>D584*Katelaskelma!$D$41</f>
        <v>9593.5418718215096</v>
      </c>
      <c r="G584" s="5">
        <f>D584*Lähtötiedot!$C$11+Katelaskelma!$F$31-Katelaskelma!$F$46</f>
        <v>72981.942076361331</v>
      </c>
      <c r="H584" s="1"/>
    </row>
    <row r="585" spans="1:8" x14ac:dyDescent="0.25">
      <c r="A585" s="5"/>
      <c r="C585" s="2">
        <v>584</v>
      </c>
      <c r="D585" s="5">
        <v>331.48187783439772</v>
      </c>
      <c r="E585" s="5"/>
      <c r="F585" s="2">
        <f>D585*Katelaskelma!$D$41</f>
        <v>3957.2091400296777</v>
      </c>
      <c r="G585" s="5">
        <f>D585*Lähtötiedot!$C$11+Katelaskelma!$F$31-Katelaskelma!$F$46</f>
        <v>5938.5847372000135</v>
      </c>
      <c r="H585" s="1"/>
    </row>
    <row r="586" spans="1:8" x14ac:dyDescent="0.25">
      <c r="A586" s="5"/>
      <c r="C586" s="2">
        <v>585</v>
      </c>
      <c r="D586" s="5">
        <v>894.97622392337803</v>
      </c>
      <c r="E586" s="5"/>
      <c r="F586" s="2">
        <f>D586*Katelaskelma!$D$41</f>
        <v>10684.168065405258</v>
      </c>
      <c r="G586" s="5">
        <f>D586*Lähtötiedot!$C$11+Katelaskelma!$F$31-Katelaskelma!$F$46</f>
        <v>85954.781881835224</v>
      </c>
      <c r="H586" s="1"/>
    </row>
    <row r="587" spans="1:8" x14ac:dyDescent="0.25">
      <c r="A587" s="5"/>
      <c r="C587" s="2">
        <v>586</v>
      </c>
      <c r="D587" s="5">
        <v>1254.3183940781339</v>
      </c>
      <c r="E587" s="5"/>
      <c r="F587" s="2">
        <f>D587*Katelaskelma!$D$41</f>
        <v>14973.971566653978</v>
      </c>
      <c r="G587" s="5">
        <f>D587*Lähtötiedot!$C$11+Katelaskelma!$F$31-Katelaskelma!$F$46</f>
        <v>136981.37004381054</v>
      </c>
      <c r="H587" s="1"/>
    </row>
    <row r="588" spans="1:8" x14ac:dyDescent="0.25">
      <c r="A588" s="5"/>
      <c r="C588" s="2">
        <v>587</v>
      </c>
      <c r="D588" s="5">
        <v>1136.0533022089091</v>
      </c>
      <c r="E588" s="5"/>
      <c r="F588" s="2">
        <f>D588*Katelaskelma!$D$41</f>
        <v>13562.130576887563</v>
      </c>
      <c r="G588" s="5">
        <f>D588*Lähtötiedot!$C$11+Katelaskelma!$F$31-Katelaskelma!$F$46</f>
        <v>120187.72699838065</v>
      </c>
      <c r="H588" s="1"/>
    </row>
    <row r="589" spans="1:8" x14ac:dyDescent="0.25">
      <c r="A589" s="5"/>
      <c r="C589" s="2">
        <v>588</v>
      </c>
      <c r="D589" s="5">
        <v>590.74464827037923</v>
      </c>
      <c r="E589" s="5"/>
      <c r="F589" s="2">
        <f>D589*Katelaskelma!$D$41</f>
        <v>7052.2712639121528</v>
      </c>
      <c r="G589" s="5">
        <f>D589*Lähtötiedot!$C$11+Katelaskelma!$F$31-Katelaskelma!$F$46</f>
        <v>42753.898139109398</v>
      </c>
      <c r="H589" s="1"/>
    </row>
    <row r="590" spans="1:8" x14ac:dyDescent="0.25">
      <c r="A590" s="5"/>
      <c r="C590" s="2">
        <v>589</v>
      </c>
      <c r="D590" s="5">
        <v>915.72223665280785</v>
      </c>
      <c r="E590" s="5"/>
      <c r="F590" s="2">
        <f>D590*Katelaskelma!$D$41</f>
        <v>10931.832618678622</v>
      </c>
      <c r="G590" s="5">
        <f>D590*Lähtötiedot!$C$11+Katelaskelma!$F$31-Katelaskelma!$F$46</f>
        <v>88900.715689414239</v>
      </c>
      <c r="H590" s="1"/>
    </row>
    <row r="591" spans="1:8" x14ac:dyDescent="0.25">
      <c r="A591" s="5"/>
      <c r="C591" s="2">
        <v>590</v>
      </c>
      <c r="D591" s="5">
        <v>792.48783034560233</v>
      </c>
      <c r="E591" s="5"/>
      <c r="F591" s="2">
        <f>D591*Katelaskelma!$D$41</f>
        <v>9460.6682757258131</v>
      </c>
      <c r="G591" s="5">
        <f>D591*Lähtötiedot!$C$11+Katelaskelma!$F$31-Katelaskelma!$F$46</f>
        <v>71401.429993791069</v>
      </c>
      <c r="H591" s="1"/>
    </row>
    <row r="592" spans="1:8" x14ac:dyDescent="0.25">
      <c r="A592" s="5"/>
      <c r="C592" s="2">
        <v>591</v>
      </c>
      <c r="D592" s="5">
        <v>224.23164145834409</v>
      </c>
      <c r="E592" s="5"/>
      <c r="F592" s="2">
        <f>D592*Katelaskelma!$D$41</f>
        <v>2676.862780130959</v>
      </c>
      <c r="G592" s="5">
        <f>D592*Lähtötiedot!$C$11+Katelaskelma!$F$31-Katelaskelma!$F$46</f>
        <v>-9290.9488281996018</v>
      </c>
      <c r="H592" s="1"/>
    </row>
    <row r="593" spans="1:8" x14ac:dyDescent="0.25">
      <c r="A593" s="5"/>
      <c r="C593" s="2">
        <v>592</v>
      </c>
      <c r="D593" s="5">
        <v>407.82555400288021</v>
      </c>
      <c r="E593" s="5"/>
      <c r="F593" s="2">
        <f>D593*Katelaskelma!$D$41</f>
        <v>4868.5949904148756</v>
      </c>
      <c r="G593" s="5">
        <f>D593*Lähtötiedot!$C$11+Katelaskelma!$F$31-Katelaskelma!$F$46</f>
        <v>16779.386753124534</v>
      </c>
      <c r="H593" s="1"/>
    </row>
    <row r="594" spans="1:8" x14ac:dyDescent="0.25">
      <c r="A594" s="5"/>
      <c r="C594" s="2">
        <v>593</v>
      </c>
      <c r="D594" s="5">
        <v>533.07476558731037</v>
      </c>
      <c r="E594" s="5"/>
      <c r="F594" s="2">
        <f>D594*Katelaskelma!$D$41</f>
        <v>6363.8119479796851</v>
      </c>
      <c r="G594" s="5">
        <f>D594*Lähtötiedot!$C$11+Katelaskelma!$F$31-Katelaskelma!$F$46</f>
        <v>34564.77479811362</v>
      </c>
      <c r="H594" s="1"/>
    </row>
    <row r="595" spans="1:8" x14ac:dyDescent="0.25">
      <c r="A595" s="5"/>
      <c r="C595" s="2">
        <v>594</v>
      </c>
      <c r="D595" s="5">
        <v>1490.9603900833788</v>
      </c>
      <c r="E595" s="5"/>
      <c r="F595" s="2">
        <f>D595*Katelaskelma!$D$41</f>
        <v>17798.988353769713</v>
      </c>
      <c r="G595" s="5">
        <f>D595*Lähtötiedot!$C$11+Katelaskelma!$F$31-Katelaskelma!$F$46</f>
        <v>170584.53347655531</v>
      </c>
      <c r="H595" s="1"/>
    </row>
    <row r="596" spans="1:8" x14ac:dyDescent="0.25">
      <c r="A596" s="5"/>
      <c r="C596" s="2">
        <v>595</v>
      </c>
      <c r="D596" s="5">
        <v>519.85844022373999</v>
      </c>
      <c r="E596" s="5"/>
      <c r="F596" s="2">
        <f>D596*Katelaskelma!$D$41</f>
        <v>6206.0363137036693</v>
      </c>
      <c r="G596" s="5">
        <f>D596*Lähtötiedot!$C$11+Katelaskelma!$F$31-Katelaskelma!$F$46</f>
        <v>32688.056596486625</v>
      </c>
      <c r="H596" s="1"/>
    </row>
    <row r="597" spans="1:8" x14ac:dyDescent="0.25">
      <c r="A597" s="5"/>
      <c r="C597" s="2">
        <v>596</v>
      </c>
      <c r="D597" s="5">
        <v>384.72929186547145</v>
      </c>
      <c r="E597" s="5"/>
      <c r="F597" s="2">
        <f>D597*Katelaskelma!$D$41</f>
        <v>4592.8733122713256</v>
      </c>
      <c r="G597" s="5">
        <f>D597*Lähtötiedot!$C$11+Katelaskelma!$F$31-Katelaskelma!$F$46</f>
        <v>13499.717529612477</v>
      </c>
      <c r="H597" s="1"/>
    </row>
    <row r="598" spans="1:8" x14ac:dyDescent="0.25">
      <c r="A598" s="5"/>
      <c r="C598" s="2">
        <v>597</v>
      </c>
      <c r="D598" s="5">
        <v>426.81971183694651</v>
      </c>
      <c r="E598" s="5"/>
      <c r="F598" s="2">
        <f>D598*Katelaskelma!$D$41</f>
        <v>5095.3460136659387</v>
      </c>
      <c r="G598" s="5">
        <f>D598*Lähtötiedot!$C$11+Katelaskelma!$F$31-Katelaskelma!$F$46</f>
        <v>19476.557165561942</v>
      </c>
      <c r="H598" s="1"/>
    </row>
    <row r="599" spans="1:8" x14ac:dyDescent="0.25">
      <c r="A599" s="5"/>
      <c r="C599" s="2">
        <v>598</v>
      </c>
      <c r="D599" s="5">
        <v>288.62138694221704</v>
      </c>
      <c r="E599" s="5"/>
      <c r="F599" s="2">
        <f>D599*Katelaskelma!$D$41</f>
        <v>3445.5433819714676</v>
      </c>
      <c r="G599" s="5">
        <f>D599*Lähtötiedot!$C$11+Katelaskelma!$F$31-Katelaskelma!$F$46</f>
        <v>-147.6049694896501</v>
      </c>
      <c r="H599" s="1"/>
    </row>
    <row r="600" spans="1:8" x14ac:dyDescent="0.25">
      <c r="A600" s="5"/>
      <c r="C600" s="2">
        <v>599</v>
      </c>
      <c r="D600" s="5">
        <v>765.56691688846354</v>
      </c>
      <c r="E600" s="5"/>
      <c r="F600" s="2">
        <f>D600*Katelaskelma!$D$41</f>
        <v>9139.2881583977742</v>
      </c>
      <c r="G600" s="5">
        <f>D600*Lähtötiedot!$C$11+Katelaskelma!$F$31-Katelaskelma!$F$46</f>
        <v>67578.660282877361</v>
      </c>
      <c r="H600" s="1"/>
    </row>
    <row r="601" spans="1:8" x14ac:dyDescent="0.25">
      <c r="A601" s="5"/>
      <c r="C601" s="2">
        <v>600</v>
      </c>
      <c r="D601" s="5">
        <v>671.05620731481372</v>
      </c>
      <c r="E601" s="5"/>
      <c r="F601" s="2">
        <f>D601*Katelaskelma!$D$41</f>
        <v>8011.0254425023959</v>
      </c>
      <c r="G601" s="5">
        <f>D601*Lähtötiedot!$C$11+Katelaskelma!$F$31-Katelaskelma!$F$46</f>
        <v>54158.139523419086</v>
      </c>
      <c r="H601" s="1"/>
    </row>
    <row r="602" spans="1:8" x14ac:dyDescent="0.25">
      <c r="A602" s="5"/>
      <c r="C602" s="2">
        <v>601</v>
      </c>
      <c r="D602" s="5">
        <v>716.41747593865762</v>
      </c>
      <c r="E602" s="5"/>
      <c r="F602" s="2">
        <f>D602*Katelaskelma!$D$41</f>
        <v>8552.5453227876569</v>
      </c>
      <c r="G602" s="5">
        <f>D602*Lähtötiedot!$C$11+Katelaskelma!$F$31-Katelaskelma!$F$46</f>
        <v>60599.439668004925</v>
      </c>
      <c r="H602" s="1"/>
    </row>
    <row r="603" spans="1:8" x14ac:dyDescent="0.25">
      <c r="A603" s="5"/>
      <c r="C603" s="2">
        <v>602</v>
      </c>
      <c r="D603" s="5">
        <v>263.50223335625725</v>
      </c>
      <c r="E603" s="5"/>
      <c r="F603" s="2">
        <f>D603*Katelaskelma!$D$41</f>
        <v>3145.6725570275212</v>
      </c>
      <c r="G603" s="5">
        <f>D603*Lähtötiedot!$C$11+Katelaskelma!$F$31-Katelaskelma!$F$46</f>
        <v>-3714.5247786959371</v>
      </c>
      <c r="H603" s="1"/>
    </row>
    <row r="604" spans="1:8" x14ac:dyDescent="0.25">
      <c r="A604" s="5"/>
      <c r="C604" s="2">
        <v>603</v>
      </c>
      <c r="D604" s="5">
        <v>920.74237742160335</v>
      </c>
      <c r="E604" s="5"/>
      <c r="F604" s="2">
        <f>D604*Katelaskelma!$D$41</f>
        <v>10991.76273330298</v>
      </c>
      <c r="G604" s="5">
        <f>D604*Lähtötiedot!$C$11+Katelaskelma!$F$31-Katelaskelma!$F$46</f>
        <v>89613.575678583205</v>
      </c>
      <c r="H604" s="1"/>
    </row>
    <row r="605" spans="1:8" x14ac:dyDescent="0.25">
      <c r="A605" s="5"/>
      <c r="C605" s="2">
        <v>604</v>
      </c>
      <c r="D605" s="5">
        <v>911.09323661910071</v>
      </c>
      <c r="E605" s="5"/>
      <c r="F605" s="2">
        <f>D605*Katelaskelma!$D$41</f>
        <v>10876.571916759542</v>
      </c>
      <c r="G605" s="5">
        <f>D605*Lähtötiedot!$C$11+Katelaskelma!$F$31-Katelaskelma!$F$46</f>
        <v>88243.397684627824</v>
      </c>
      <c r="H605" s="1"/>
    </row>
    <row r="606" spans="1:8" x14ac:dyDescent="0.25">
      <c r="A606" s="5"/>
      <c r="C606" s="2">
        <v>605</v>
      </c>
      <c r="D606" s="5">
        <v>106.76709878692128</v>
      </c>
      <c r="E606" s="5"/>
      <c r="F606" s="2">
        <f>D606*Katelaskelma!$D$41</f>
        <v>1274.5786947216752</v>
      </c>
      <c r="G606" s="5">
        <f>D606*Lähtötiedot!$C$11+Katelaskelma!$F$31-Katelaskelma!$F$46</f>
        <v>-25970.913887541639</v>
      </c>
      <c r="H606" s="1"/>
    </row>
    <row r="607" spans="1:8" x14ac:dyDescent="0.25">
      <c r="A607" s="5"/>
      <c r="C607" s="2">
        <v>606</v>
      </c>
      <c r="D607" s="5">
        <v>749.33834390670722</v>
      </c>
      <c r="E607" s="5"/>
      <c r="F607" s="2">
        <f>D607*Katelaskelma!$D$41</f>
        <v>8945.5525075905589</v>
      </c>
      <c r="G607" s="5">
        <f>D607*Lähtötiedot!$C$11+Katelaskelma!$F$31-Katelaskelma!$F$46</f>
        <v>65274.202919467964</v>
      </c>
      <c r="H607" s="1"/>
    </row>
    <row r="608" spans="1:8" x14ac:dyDescent="0.25">
      <c r="A608" s="5"/>
      <c r="C608" s="2">
        <v>607</v>
      </c>
      <c r="D608" s="5">
        <v>547.95506886311273</v>
      </c>
      <c r="E608" s="5"/>
      <c r="F608" s="2">
        <f>D608*Katelaskelma!$D$41</f>
        <v>6541.4520425577548</v>
      </c>
      <c r="G608" s="5">
        <f>D608*Lähtötiedot!$C$11+Katelaskelma!$F$31-Katelaskelma!$F$46</f>
        <v>36677.77786327753</v>
      </c>
      <c r="H608" s="1"/>
    </row>
    <row r="609" spans="1:8" x14ac:dyDescent="0.25">
      <c r="A609" s="5"/>
      <c r="C609" s="2">
        <v>608</v>
      </c>
      <c r="D609" s="5">
        <v>323.62055333387781</v>
      </c>
      <c r="E609" s="5"/>
      <c r="F609" s="2">
        <f>D609*Katelaskelma!$D$41</f>
        <v>3863.3611584463888</v>
      </c>
      <c r="G609" s="5">
        <f>D609*Lähtötiedot!$C$11+Katelaskelma!$F$31-Katelaskelma!$F$46</f>
        <v>4822.2766581261822</v>
      </c>
      <c r="H609" s="1"/>
    </row>
    <row r="610" spans="1:8" x14ac:dyDescent="0.25">
      <c r="A610" s="5"/>
      <c r="C610" s="2">
        <v>609</v>
      </c>
      <c r="D610" s="5">
        <v>832.26392610867765</v>
      </c>
      <c r="E610" s="5"/>
      <c r="F610" s="2">
        <f>D610*Katelaskelma!$D$41</f>
        <v>9935.512724950795</v>
      </c>
      <c r="G610" s="5">
        <f>D610*Lähtötiedot!$C$11+Katelaskelma!$F$31-Katelaskelma!$F$46</f>
        <v>77049.635592147766</v>
      </c>
      <c r="H610" s="1"/>
    </row>
    <row r="611" spans="1:8" x14ac:dyDescent="0.25">
      <c r="A611" s="5"/>
      <c r="C611" s="2">
        <v>610</v>
      </c>
      <c r="D611" s="5">
        <v>632.56923377825046</v>
      </c>
      <c r="E611" s="5"/>
      <c r="F611" s="2">
        <f>D611*Katelaskelma!$D$41</f>
        <v>7551.5704507364353</v>
      </c>
      <c r="G611" s="5">
        <f>D611*Lähtötiedot!$C$11+Katelaskelma!$F$31-Katelaskelma!$F$46</f>
        <v>48692.989281227114</v>
      </c>
      <c r="H611" s="1"/>
    </row>
    <row r="612" spans="1:8" x14ac:dyDescent="0.25">
      <c r="A612" s="5"/>
      <c r="C612" s="2">
        <v>611</v>
      </c>
      <c r="D612" s="5">
        <v>470.70236473141387</v>
      </c>
      <c r="E612" s="5"/>
      <c r="F612" s="2">
        <f>D612*Katelaskelma!$D$41</f>
        <v>5619.2142753556163</v>
      </c>
      <c r="G612" s="5">
        <f>D612*Lähtötiedot!$C$11+Katelaskelma!$F$31-Katelaskelma!$F$46</f>
        <v>25707.893876576301</v>
      </c>
      <c r="H612" s="1"/>
    </row>
    <row r="613" spans="1:8" x14ac:dyDescent="0.25">
      <c r="A613" s="5"/>
      <c r="C613" s="2">
        <v>612</v>
      </c>
      <c r="D613" s="5">
        <v>759.42134932143085</v>
      </c>
      <c r="E613" s="5"/>
      <c r="F613" s="2">
        <f>D613*Katelaskelma!$D$41</f>
        <v>9065.9227717111407</v>
      </c>
      <c r="G613" s="5">
        <f>D613*Lähtötiedot!$C$11+Katelaskelma!$F$31-Katelaskelma!$F$46</f>
        <v>66705.989688358706</v>
      </c>
      <c r="H613" s="1"/>
    </row>
    <row r="614" spans="1:8" x14ac:dyDescent="0.25">
      <c r="A614" s="5"/>
      <c r="C614" s="2">
        <v>613</v>
      </c>
      <c r="D614" s="5">
        <v>650.98231360156501</v>
      </c>
      <c r="E614" s="5"/>
      <c r="F614" s="2">
        <f>D614*Katelaskelma!$D$41</f>
        <v>7771.3846024147906</v>
      </c>
      <c r="G614" s="5">
        <f>D614*Lähtötiedot!$C$11+Katelaskelma!$F$31-Katelaskelma!$F$46</f>
        <v>51307.646616137761</v>
      </c>
      <c r="H614" s="1"/>
    </row>
    <row r="615" spans="1:8" x14ac:dyDescent="0.25">
      <c r="A615" s="5"/>
      <c r="C615" s="2">
        <v>614</v>
      </c>
      <c r="D615" s="5">
        <v>499.79876503450424</v>
      </c>
      <c r="E615" s="5"/>
      <c r="F615" s="2">
        <f>D615*Katelaskelma!$D$41</f>
        <v>5966.5652134327611</v>
      </c>
      <c r="G615" s="5">
        <f>D615*Lähtötiedot!$C$11+Katelaskelma!$F$31-Katelaskelma!$F$46</f>
        <v>29839.582719615137</v>
      </c>
      <c r="H615" s="1"/>
    </row>
    <row r="616" spans="1:8" x14ac:dyDescent="0.25">
      <c r="A616" s="5"/>
      <c r="C616" s="2">
        <v>615</v>
      </c>
      <c r="D616" s="5">
        <v>774.9293896787201</v>
      </c>
      <c r="E616" s="5"/>
      <c r="F616" s="2">
        <f>D616*Katelaskelma!$D$41</f>
        <v>9251.0567508195636</v>
      </c>
      <c r="G616" s="5">
        <f>D616*Lähtötiedot!$C$11+Katelaskelma!$F$31-Katelaskelma!$F$46</f>
        <v>68908.131419093785</v>
      </c>
      <c r="H616" s="1"/>
    </row>
    <row r="617" spans="1:8" x14ac:dyDescent="0.25">
      <c r="A617" s="5"/>
      <c r="C617" s="2">
        <v>616</v>
      </c>
      <c r="D617" s="5">
        <v>1072.0970868151155</v>
      </c>
      <c r="E617" s="5"/>
      <c r="F617" s="2">
        <f>D617*Katelaskelma!$D$41</f>
        <v>12798.625429120586</v>
      </c>
      <c r="G617" s="5">
        <f>D617*Lähtötiedot!$C$11+Katelaskelma!$F$31-Katelaskelma!$F$46</f>
        <v>111105.94441246195</v>
      </c>
      <c r="H617" s="1"/>
    </row>
    <row r="618" spans="1:8" x14ac:dyDescent="0.25">
      <c r="A618" s="5"/>
      <c r="C618" s="2">
        <v>617</v>
      </c>
      <c r="D618" s="5">
        <v>501.45732615537082</v>
      </c>
      <c r="E618" s="5"/>
      <c r="F618" s="2">
        <f>D618*Katelaskelma!$D$41</f>
        <v>5986.3650084311166</v>
      </c>
      <c r="G618" s="5">
        <f>D618*Lähtötiedot!$C$11+Katelaskelma!$F$31-Katelaskelma!$F$46</f>
        <v>30075.09839877818</v>
      </c>
      <c r="H618" s="1"/>
    </row>
    <row r="619" spans="1:8" x14ac:dyDescent="0.25">
      <c r="A619" s="5"/>
      <c r="C619" s="2">
        <v>618</v>
      </c>
      <c r="D619" s="5">
        <v>528.25712577799709</v>
      </c>
      <c r="E619" s="5"/>
      <c r="F619" s="2">
        <f>D619*Katelaskelma!$D$41</f>
        <v>6306.2992766646348</v>
      </c>
      <c r="G619" s="5">
        <f>D619*Lähtötiedot!$C$11+Katelaskelma!$F$31-Katelaskelma!$F$46</f>
        <v>33880.669945191126</v>
      </c>
      <c r="H619" s="1"/>
    </row>
    <row r="620" spans="1:8" x14ac:dyDescent="0.25">
      <c r="A620" s="5"/>
      <c r="C620" s="2">
        <v>619</v>
      </c>
      <c r="D620" s="5">
        <v>748.75252190005517</v>
      </c>
      <c r="E620" s="5"/>
      <c r="F620" s="2">
        <f>D620*Katelaskelma!$D$41</f>
        <v>8938.5590025027414</v>
      </c>
      <c r="G620" s="5">
        <f>D620*Lähtötiedot!$C$11+Katelaskelma!$F$31-Katelaskelma!$F$46</f>
        <v>65191.01619452337</v>
      </c>
      <c r="H620" s="1"/>
    </row>
    <row r="621" spans="1:8" x14ac:dyDescent="0.25">
      <c r="A621" s="5"/>
      <c r="C621" s="2">
        <v>620</v>
      </c>
      <c r="D621" s="5">
        <v>512.62003699758793</v>
      </c>
      <c r="E621" s="5"/>
      <c r="F621" s="2">
        <f>D621*Katelaskelma!$D$41</f>
        <v>6119.624725857956</v>
      </c>
      <c r="G621" s="5">
        <f>D621*Lähtötiedot!$C$11+Katelaskelma!$F$31-Katelaskelma!$F$46</f>
        <v>31660.203338373016</v>
      </c>
      <c r="H621" s="1"/>
    </row>
    <row r="622" spans="1:8" x14ac:dyDescent="0.25">
      <c r="A622" s="5"/>
      <c r="C622" s="2">
        <v>621</v>
      </c>
      <c r="D622" s="5">
        <v>856.34828808858515</v>
      </c>
      <c r="E622" s="5"/>
      <c r="F622" s="2">
        <f>D622*Katelaskelma!$D$41</f>
        <v>10223.030274873348</v>
      </c>
      <c r="G622" s="5">
        <f>D622*Lähtötiedot!$C$11+Katelaskelma!$F$31-Katelaskelma!$F$46</f>
        <v>80469.614993294614</v>
      </c>
      <c r="H622" s="1"/>
    </row>
    <row r="623" spans="1:8" x14ac:dyDescent="0.25">
      <c r="A623" s="5"/>
      <c r="C623" s="2">
        <v>622</v>
      </c>
      <c r="D623" s="5">
        <v>636.81657453753928</v>
      </c>
      <c r="E623" s="5"/>
      <c r="F623" s="2">
        <f>D623*Katelaskelma!$D$41</f>
        <v>7602.2749290122438</v>
      </c>
      <c r="G623" s="5">
        <f>D623*Lähtötiedot!$C$11+Katelaskelma!$F$31-Katelaskelma!$F$46</f>
        <v>49296.111669046106</v>
      </c>
      <c r="H623" s="1"/>
    </row>
    <row r="624" spans="1:8" x14ac:dyDescent="0.25">
      <c r="A624" s="5"/>
      <c r="C624" s="2">
        <v>623</v>
      </c>
      <c r="D624" s="5">
        <v>688.88026142170088</v>
      </c>
      <c r="E624" s="5"/>
      <c r="F624" s="2">
        <f>D624*Katelaskelma!$D$41</f>
        <v>8223.8078434135987</v>
      </c>
      <c r="G624" s="5">
        <f>D624*Lähtötiedot!$C$11+Katelaskelma!$F$31-Katelaskelma!$F$46</f>
        <v>56689.155206597061</v>
      </c>
      <c r="H624" s="1"/>
    </row>
    <row r="625" spans="1:8" x14ac:dyDescent="0.25">
      <c r="A625" s="5"/>
      <c r="C625" s="2">
        <v>624</v>
      </c>
      <c r="D625" s="5">
        <v>1032.8078966492815</v>
      </c>
      <c r="E625" s="5"/>
      <c r="F625" s="2">
        <f>D625*Katelaskelma!$D$41</f>
        <v>12329.593627308857</v>
      </c>
      <c r="G625" s="5">
        <f>D625*Lähtötiedot!$C$11+Katelaskelma!$F$31-Katelaskelma!$F$46</f>
        <v>105526.87940891352</v>
      </c>
      <c r="H625" s="1"/>
    </row>
    <row r="626" spans="1:8" x14ac:dyDescent="0.25">
      <c r="A626" s="5"/>
      <c r="C626" s="2">
        <v>625</v>
      </c>
      <c r="D626" s="5">
        <v>544.31259046577065</v>
      </c>
      <c r="E626" s="5"/>
      <c r="F626" s="2">
        <f>D626*Katelaskelma!$D$41</f>
        <v>6497.9683718953011</v>
      </c>
      <c r="G626" s="5">
        <f>D626*Lähtötiedot!$C$11+Katelaskelma!$F$31-Katelaskelma!$F$46</f>
        <v>36160.545930854976</v>
      </c>
      <c r="H626" s="1"/>
    </row>
    <row r="627" spans="1:8" x14ac:dyDescent="0.25">
      <c r="A627" s="5"/>
      <c r="C627" s="2">
        <v>626</v>
      </c>
      <c r="D627" s="5">
        <v>865.76281991276187</v>
      </c>
      <c r="E627" s="5"/>
      <c r="F627" s="2">
        <f>D627*Katelaskelma!$D$41</f>
        <v>10335.420344662758</v>
      </c>
      <c r="G627" s="5">
        <f>D627*Lähtötiedot!$C$11+Katelaskelma!$F$31-Katelaskelma!$F$46</f>
        <v>81806.478512327711</v>
      </c>
      <c r="H627" s="1"/>
    </row>
    <row r="628" spans="1:8" x14ac:dyDescent="0.25">
      <c r="A628" s="5"/>
      <c r="C628" s="2">
        <v>627</v>
      </c>
      <c r="D628" s="5">
        <v>127.44610173680695</v>
      </c>
      <c r="E628" s="5"/>
      <c r="F628" s="2">
        <f>D628*Katelaskelma!$D$41</f>
        <v>1521.4432895966613</v>
      </c>
      <c r="G628" s="5">
        <f>D628*Lähtötiedot!$C$11+Katelaskelma!$F$31-Katelaskelma!$F$46</f>
        <v>-23034.495468657871</v>
      </c>
      <c r="H628" s="1"/>
    </row>
    <row r="629" spans="1:8" x14ac:dyDescent="0.25">
      <c r="A629" s="5"/>
      <c r="C629" s="2">
        <v>628</v>
      </c>
      <c r="D629" s="5">
        <v>1137.2889804609183</v>
      </c>
      <c r="E629" s="5"/>
      <c r="F629" s="2">
        <f>D629*Katelaskelma!$D$41</f>
        <v>13576.88202364819</v>
      </c>
      <c r="G629" s="5">
        <f>D629*Lähtötiedot!$C$11+Katelaskelma!$F$31-Katelaskelma!$F$46</f>
        <v>120363.19331016595</v>
      </c>
      <c r="H629" s="1"/>
    </row>
    <row r="630" spans="1:8" x14ac:dyDescent="0.25">
      <c r="A630" s="5"/>
      <c r="C630" s="2">
        <v>629</v>
      </c>
      <c r="D630" s="5">
        <v>681.59162233624261</v>
      </c>
      <c r="E630" s="5"/>
      <c r="F630" s="2">
        <f>D630*Katelaskelma!$D$41</f>
        <v>8136.79654314046</v>
      </c>
      <c r="G630" s="5">
        <f>D630*Lähtötiedot!$C$11+Katelaskelma!$F$31-Katelaskelma!$F$46</f>
        <v>55654.168456461979</v>
      </c>
      <c r="H630" s="1"/>
    </row>
    <row r="631" spans="1:8" x14ac:dyDescent="0.25">
      <c r="A631" s="5"/>
      <c r="C631" s="2">
        <v>630</v>
      </c>
      <c r="D631" s="5">
        <v>998.94691890735407</v>
      </c>
      <c r="E631" s="5"/>
      <c r="F631" s="2">
        <f>D631*Katelaskelma!$D$41</f>
        <v>11925.363473050958</v>
      </c>
      <c r="G631" s="5">
        <f>D631*Lähtötiedot!$C$11+Katelaskelma!$F$31-Katelaskelma!$F$46</f>
        <v>100718.62056955983</v>
      </c>
      <c r="H631" s="1"/>
    </row>
    <row r="632" spans="1:8" x14ac:dyDescent="0.25">
      <c r="A632" s="5"/>
      <c r="C632" s="2">
        <v>631</v>
      </c>
      <c r="D632" s="5">
        <v>1432.457907477348</v>
      </c>
      <c r="E632" s="5"/>
      <c r="F632" s="2">
        <f>D632*Katelaskelma!$D$41</f>
        <v>17100.589514003674</v>
      </c>
      <c r="G632" s="5">
        <f>D632*Lähtötiedot!$C$11+Katelaskelma!$F$31-Katelaskelma!$F$46</f>
        <v>162277.18094649893</v>
      </c>
      <c r="H632" s="1"/>
    </row>
    <row r="633" spans="1:8" x14ac:dyDescent="0.25">
      <c r="A633" s="5"/>
      <c r="C633" s="2">
        <v>632</v>
      </c>
      <c r="D633" s="5">
        <v>700.96533502118905</v>
      </c>
      <c r="E633" s="5"/>
      <c r="F633" s="2">
        <f>D633*Katelaskelma!$D$41</f>
        <v>8368.0786675632007</v>
      </c>
      <c r="G633" s="5">
        <f>D633*Lähtötiedot!$C$11+Katelaskelma!$F$31-Katelaskelma!$F$46</f>
        <v>58405.235657724377</v>
      </c>
      <c r="H633" s="1"/>
    </row>
    <row r="634" spans="1:8" x14ac:dyDescent="0.25">
      <c r="A634" s="5"/>
      <c r="C634" s="2">
        <v>633</v>
      </c>
      <c r="D634" s="5">
        <v>844.02730215382667</v>
      </c>
      <c r="E634" s="5"/>
      <c r="F634" s="2">
        <f>D634*Katelaskelma!$D$41</f>
        <v>10075.943144579122</v>
      </c>
      <c r="G634" s="5">
        <f>D634*Lähtötiedot!$C$11+Katelaskelma!$F$31-Katelaskelma!$F$46</f>
        <v>78720.034990558925</v>
      </c>
      <c r="H634" s="1"/>
    </row>
    <row r="635" spans="1:8" x14ac:dyDescent="0.25">
      <c r="A635" s="5"/>
      <c r="C635" s="2">
        <v>634</v>
      </c>
      <c r="D635" s="5">
        <v>551.26359807572339</v>
      </c>
      <c r="E635" s="5"/>
      <c r="F635" s="2">
        <f>D635*Katelaskelma!$D$41</f>
        <v>6580.9490495306036</v>
      </c>
      <c r="G635" s="5">
        <f>D635*Lähtötiedot!$C$11+Katelaskelma!$F$31-Katelaskelma!$F$46</f>
        <v>37147.589011468255</v>
      </c>
      <c r="H635" s="1"/>
    </row>
    <row r="636" spans="1:8" x14ac:dyDescent="0.25">
      <c r="A636" s="5"/>
      <c r="C636" s="2">
        <v>635</v>
      </c>
      <c r="D636" s="5">
        <v>391.94208544940722</v>
      </c>
      <c r="E636" s="5"/>
      <c r="F636" s="2">
        <f>D636*Katelaskelma!$D$41</f>
        <v>4678.9791738706663</v>
      </c>
      <c r="G636" s="5">
        <f>D636*Lähtötiedot!$C$11+Katelaskelma!$F$31-Katelaskelma!$F$46</f>
        <v>14523.934218531358</v>
      </c>
      <c r="H636" s="1"/>
    </row>
    <row r="637" spans="1:8" x14ac:dyDescent="0.25">
      <c r="A637" s="5"/>
      <c r="C637" s="2">
        <v>636</v>
      </c>
      <c r="D637" s="5">
        <v>930.95367278789286</v>
      </c>
      <c r="E637" s="5"/>
      <c r="F637" s="2">
        <f>D637*Katelaskelma!$D$41</f>
        <v>11113.664514537642</v>
      </c>
      <c r="G637" s="5">
        <f>D637*Lähtötiedot!$C$11+Katelaskelma!$F$31-Katelaskelma!$F$46</f>
        <v>91063.579620596342</v>
      </c>
      <c r="H637" s="1"/>
    </row>
    <row r="638" spans="1:8" x14ac:dyDescent="0.25">
      <c r="A638" s="5"/>
      <c r="C638" s="2">
        <v>637</v>
      </c>
      <c r="D638" s="5">
        <v>748.00196061664451</v>
      </c>
      <c r="E638" s="5"/>
      <c r="F638" s="2">
        <f>D638*Katelaskelma!$D$41</f>
        <v>8929.5988506227386</v>
      </c>
      <c r="G638" s="5">
        <f>D638*Lähtötiedot!$C$11+Katelaskelma!$F$31-Katelaskelma!$F$46</f>
        <v>65084.436492279056</v>
      </c>
      <c r="H638" s="1"/>
    </row>
    <row r="639" spans="1:8" x14ac:dyDescent="0.25">
      <c r="A639" s="5"/>
      <c r="C639" s="2">
        <v>638</v>
      </c>
      <c r="D639" s="5">
        <v>1509.2785907398327</v>
      </c>
      <c r="E639" s="5"/>
      <c r="F639" s="2">
        <f>D639*Katelaskelma!$D$41</f>
        <v>18017.669844112999</v>
      </c>
      <c r="G639" s="5">
        <f>D639*Lähtötiedot!$C$11+Katelaskelma!$F$31-Katelaskelma!$F$46</f>
        <v>173185.71796977177</v>
      </c>
      <c r="H639" s="1"/>
    </row>
    <row r="640" spans="1:8" x14ac:dyDescent="0.25">
      <c r="A640" s="5"/>
      <c r="C640" s="2">
        <v>639</v>
      </c>
      <c r="D640" s="5">
        <v>1049.1122539668302</v>
      </c>
      <c r="E640" s="5"/>
      <c r="F640" s="2">
        <f>D640*Katelaskelma!$D$41</f>
        <v>12524.233986597357</v>
      </c>
      <c r="G640" s="5">
        <f>D640*Lähtötiedot!$C$11+Katelaskelma!$F$31-Katelaskelma!$F$46</f>
        <v>107842.09814800543</v>
      </c>
      <c r="H640" s="1"/>
    </row>
    <row r="641" spans="1:8" x14ac:dyDescent="0.25">
      <c r="A641" s="5"/>
      <c r="C641" s="2">
        <v>640</v>
      </c>
      <c r="D641" s="5">
        <v>678.64860810378491</v>
      </c>
      <c r="E641" s="5"/>
      <c r="F641" s="2">
        <f>D641*Katelaskelma!$D$41</f>
        <v>8101.6630302739213</v>
      </c>
      <c r="G641" s="5">
        <f>D641*Lähtötiedot!$C$11+Katelaskelma!$F$31-Katelaskelma!$F$46</f>
        <v>55236.260435453005</v>
      </c>
      <c r="H641" s="1"/>
    </row>
    <row r="642" spans="1:8" x14ac:dyDescent="0.25">
      <c r="A642" s="5"/>
      <c r="C642" s="2">
        <v>641</v>
      </c>
      <c r="D642" s="5">
        <v>896.56327586217617</v>
      </c>
      <c r="E642" s="5"/>
      <c r="F642" s="2">
        <f>D642*Katelaskelma!$D$41</f>
        <v>10703.114188429972</v>
      </c>
      <c r="G642" s="5">
        <f>D642*Lähtötiedot!$C$11+Katelaskelma!$F$31-Katelaskelma!$F$46</f>
        <v>86180.143257144548</v>
      </c>
      <c r="H642" s="1"/>
    </row>
    <row r="643" spans="1:8" x14ac:dyDescent="0.25">
      <c r="A643" s="5"/>
      <c r="C643" s="2">
        <v>642</v>
      </c>
      <c r="D643" s="5">
        <v>952.05837224977881</v>
      </c>
      <c r="E643" s="5"/>
      <c r="F643" s="2">
        <f>D643*Katelaskelma!$D$41</f>
        <v>11365.611046739554</v>
      </c>
      <c r="G643" s="5">
        <f>D643*Lähtötiedot!$C$11+Katelaskelma!$F$31-Katelaskelma!$F$46</f>
        <v>94060.446944184136</v>
      </c>
      <c r="H643" s="1"/>
    </row>
    <row r="644" spans="1:8" x14ac:dyDescent="0.25">
      <c r="A644" s="5"/>
      <c r="C644" s="2">
        <v>643</v>
      </c>
      <c r="D644" s="5">
        <v>1259.7938965948886</v>
      </c>
      <c r="E644" s="5"/>
      <c r="F644" s="2">
        <f>D644*Katelaskelma!$D$41</f>
        <v>15039.337760266473</v>
      </c>
      <c r="G644" s="5">
        <f>D644*Lähtötiedot!$C$11+Katelaskelma!$F$31-Katelaskelma!$F$46</f>
        <v>137758.89140118973</v>
      </c>
      <c r="H644" s="1"/>
    </row>
    <row r="645" spans="1:8" x14ac:dyDescent="0.25">
      <c r="A645" s="5"/>
      <c r="C645" s="2">
        <v>644</v>
      </c>
      <c r="D645" s="5">
        <v>586.61850661663971</v>
      </c>
      <c r="E645" s="5"/>
      <c r="F645" s="2">
        <f>D645*Katelaskelma!$D$41</f>
        <v>7003.0136526909673</v>
      </c>
      <c r="G645" s="5">
        <f>D645*Lähtötiedot!$C$11+Katelaskelma!$F$31-Katelaskelma!$F$46</f>
        <v>42167.986024278362</v>
      </c>
      <c r="H645" s="1"/>
    </row>
    <row r="646" spans="1:8" x14ac:dyDescent="0.25">
      <c r="A646" s="5"/>
      <c r="C646" s="2">
        <v>645</v>
      </c>
      <c r="D646" s="5">
        <v>987.73262542151929</v>
      </c>
      <c r="E646" s="5"/>
      <c r="F646" s="2">
        <f>D646*Katelaskelma!$D$41</f>
        <v>11791.487965373008</v>
      </c>
      <c r="G646" s="5">
        <f>D646*Lähtötiedot!$C$11+Katelaskelma!$F$31-Katelaskelma!$F$46</f>
        <v>99126.190894571278</v>
      </c>
      <c r="H646" s="1"/>
    </row>
    <row r="647" spans="1:8" x14ac:dyDescent="0.25">
      <c r="A647" s="5"/>
      <c r="C647" s="2">
        <v>646</v>
      </c>
      <c r="D647" s="5">
        <v>961.53201756473413</v>
      </c>
      <c r="E647" s="5"/>
      <c r="F647" s="2">
        <f>D647*Katelaskelma!$D$41</f>
        <v>11478.706809544632</v>
      </c>
      <c r="G647" s="5">
        <f>D647*Lähtötiedot!$C$11+Katelaskelma!$F$31-Katelaskelma!$F$46</f>
        <v>95405.704578907782</v>
      </c>
      <c r="H647" s="1"/>
    </row>
    <row r="648" spans="1:8" x14ac:dyDescent="0.25">
      <c r="A648" s="5"/>
      <c r="C648" s="2">
        <v>647</v>
      </c>
      <c r="D648" s="5">
        <v>1229.7542432243811</v>
      </c>
      <c r="E648" s="5"/>
      <c r="F648" s="2">
        <f>D648*Katelaskelma!$D$41</f>
        <v>14680.726328300101</v>
      </c>
      <c r="G648" s="5">
        <f>D648*Lähtötiedot!$C$11+Katelaskelma!$F$31-Katelaskelma!$F$46</f>
        <v>133493.26062257765</v>
      </c>
      <c r="H648" s="1"/>
    </row>
    <row r="649" spans="1:8" x14ac:dyDescent="0.25">
      <c r="A649" s="5"/>
      <c r="C649" s="2">
        <v>648</v>
      </c>
      <c r="D649" s="5">
        <v>1373.4434013699208</v>
      </c>
      <c r="E649" s="5"/>
      <c r="F649" s="2">
        <f>D649*Katelaskelma!$D$41</f>
        <v>16396.078170915058</v>
      </c>
      <c r="G649" s="5">
        <f>D649*Lähtötiedot!$C$11+Katelaskelma!$F$31-Katelaskelma!$F$46</f>
        <v>153897.1210792443</v>
      </c>
      <c r="H649" s="1"/>
    </row>
    <row r="650" spans="1:8" x14ac:dyDescent="0.25">
      <c r="A650" s="5"/>
      <c r="C650" s="2">
        <v>649</v>
      </c>
      <c r="D650" s="5">
        <v>836.51386294582767</v>
      </c>
      <c r="E650" s="5"/>
      <c r="F650" s="2">
        <f>D650*Katelaskelma!$D$41</f>
        <v>9986.2481950355905</v>
      </c>
      <c r="G650" s="5">
        <f>D650*Lähtötiedot!$C$11+Katelaskelma!$F$31-Katelaskelma!$F$46</f>
        <v>77653.126623023069</v>
      </c>
      <c r="H650" s="1"/>
    </row>
    <row r="651" spans="1:8" x14ac:dyDescent="0.25">
      <c r="A651" s="5"/>
      <c r="C651" s="2">
        <v>650</v>
      </c>
      <c r="D651" s="5">
        <v>560.70351837110024</v>
      </c>
      <c r="E651" s="5"/>
      <c r="F651" s="2">
        <f>D651*Katelaskelma!$D$41</f>
        <v>6693.6422052411526</v>
      </c>
      <c r="G651" s="5">
        <f>D651*Lähtötiedot!$C$11+Katelaskelma!$F$31-Katelaskelma!$F$46</f>
        <v>38488.057693411771</v>
      </c>
      <c r="H651" s="1"/>
    </row>
    <row r="652" spans="1:8" x14ac:dyDescent="0.25">
      <c r="A652" s="5"/>
      <c r="C652" s="2">
        <v>651</v>
      </c>
      <c r="D652" s="5">
        <v>636.80336607907452</v>
      </c>
      <c r="E652" s="5"/>
      <c r="F652" s="2">
        <f>D652*Katelaskelma!$D$41</f>
        <v>7602.1172472924945</v>
      </c>
      <c r="G652" s="5">
        <f>D652*Lähtötiedot!$C$11+Katelaskelma!$F$31-Katelaskelma!$F$46</f>
        <v>49294.236067944119</v>
      </c>
      <c r="H652" s="1"/>
    </row>
    <row r="653" spans="1:8" x14ac:dyDescent="0.25">
      <c r="A653" s="5"/>
      <c r="C653" s="2">
        <v>652</v>
      </c>
      <c r="D653" s="5">
        <v>954.77600444703717</v>
      </c>
      <c r="E653" s="5"/>
      <c r="F653" s="2">
        <f>D653*Katelaskelma!$D$41</f>
        <v>11398.053963500157</v>
      </c>
      <c r="G653" s="5">
        <f>D653*Lähtötiedot!$C$11+Katelaskelma!$F$31-Katelaskelma!$F$46</f>
        <v>94446.350716194807</v>
      </c>
      <c r="H653" s="1"/>
    </row>
    <row r="654" spans="1:8" x14ac:dyDescent="0.25">
      <c r="A654" s="5"/>
      <c r="C654" s="2">
        <v>653</v>
      </c>
      <c r="D654" s="5">
        <v>922.86411785789983</v>
      </c>
      <c r="E654" s="5"/>
      <c r="F654" s="2">
        <f>D654*Katelaskelma!$D$41</f>
        <v>11017.091932902476</v>
      </c>
      <c r="G654" s="5">
        <f>D654*Lähtötiedot!$C$11+Katelaskelma!$F$31-Katelaskelma!$F$46</f>
        <v>89914.862820537324</v>
      </c>
      <c r="H654" s="1"/>
    </row>
    <row r="655" spans="1:8" x14ac:dyDescent="0.25">
      <c r="A655" s="5"/>
      <c r="C655" s="2">
        <v>654</v>
      </c>
      <c r="D655" s="5">
        <v>778.13797431732087</v>
      </c>
      <c r="E655" s="5"/>
      <c r="F655" s="2">
        <f>D655*Katelaskelma!$D$41</f>
        <v>9289.3606259556072</v>
      </c>
      <c r="G655" s="5">
        <f>D655*Lähtötiedot!$C$11+Katelaskelma!$F$31-Katelaskelma!$F$46</f>
        <v>69363.750437775103</v>
      </c>
      <c r="H655" s="1"/>
    </row>
    <row r="656" spans="1:8" x14ac:dyDescent="0.25">
      <c r="A656" s="5"/>
      <c r="C656" s="2">
        <v>655</v>
      </c>
      <c r="D656" s="5">
        <v>570.19476381399613</v>
      </c>
      <c r="E656" s="5"/>
      <c r="F656" s="2">
        <f>D656*Katelaskelma!$D$41</f>
        <v>6806.9480772311026</v>
      </c>
      <c r="G656" s="5">
        <f>D656*Lähtötiedot!$C$11+Katelaskelma!$F$31-Katelaskelma!$F$46</f>
        <v>39835.81454630298</v>
      </c>
      <c r="H656" s="1"/>
    </row>
    <row r="657" spans="1:8" x14ac:dyDescent="0.25">
      <c r="A657" s="5"/>
      <c r="C657" s="2">
        <v>656</v>
      </c>
      <c r="D657" s="5">
        <v>696.7614726258264</v>
      </c>
      <c r="E657" s="5"/>
      <c r="F657" s="2">
        <f>D657*Katelaskelma!$D$41</f>
        <v>8317.8932311736226</v>
      </c>
      <c r="G657" s="5">
        <f>D657*Lähtötiedot!$C$11+Katelaskelma!$F$31-Katelaskelma!$F$46</f>
        <v>57808.287197582889</v>
      </c>
      <c r="H657" s="1"/>
    </row>
    <row r="658" spans="1:8" x14ac:dyDescent="0.25">
      <c r="A658" s="5"/>
      <c r="C658" s="2">
        <v>657</v>
      </c>
      <c r="D658" s="5">
        <v>559.70530960805786</v>
      </c>
      <c r="E658" s="5"/>
      <c r="F658" s="2">
        <f>D658*Katelaskelma!$D$41</f>
        <v>6681.7256538249012</v>
      </c>
      <c r="G658" s="5">
        <f>D658*Lähtötiedot!$C$11+Katelaskelma!$F$31-Katelaskelma!$F$46</f>
        <v>38346.31204905975</v>
      </c>
      <c r="H658" s="1"/>
    </row>
    <row r="659" spans="1:8" x14ac:dyDescent="0.25">
      <c r="A659" s="5"/>
      <c r="C659" s="2">
        <v>658</v>
      </c>
      <c r="D659" s="5">
        <v>1004.7801247899126</v>
      </c>
      <c r="E659" s="5"/>
      <c r="F659" s="2">
        <f>D659*Katelaskelma!$D$41</f>
        <v>11994.999906224744</v>
      </c>
      <c r="G659" s="5">
        <f>D659*Lähtötiedot!$C$11+Katelaskelma!$F$31-Katelaskelma!$F$46</f>
        <v>101546.93580488313</v>
      </c>
      <c r="H659" s="1"/>
    </row>
    <row r="660" spans="1:8" x14ac:dyDescent="0.25">
      <c r="A660" s="5"/>
      <c r="C660" s="2">
        <v>659</v>
      </c>
      <c r="D660" s="5">
        <v>1067.7224505200936</v>
      </c>
      <c r="E660" s="5"/>
      <c r="F660" s="2">
        <f>D660*Katelaskelma!$D$41</f>
        <v>12746.40130500236</v>
      </c>
      <c r="G660" s="5">
        <f>D660*Lähtötiedot!$C$11+Katelaskelma!$F$31-Katelaskelma!$F$46</f>
        <v>110484.74605856882</v>
      </c>
      <c r="H660" s="1"/>
    </row>
    <row r="661" spans="1:8" x14ac:dyDescent="0.25">
      <c r="A661" s="5"/>
      <c r="C661" s="2">
        <v>660</v>
      </c>
      <c r="D661" s="5">
        <v>518.85899820211921</v>
      </c>
      <c r="E661" s="5"/>
      <c r="F661" s="2">
        <f>D661*Katelaskelma!$D$41</f>
        <v>6194.1050397265644</v>
      </c>
      <c r="G661" s="5">
        <f>D661*Lähtötiedot!$C$11+Katelaskelma!$F$31-Katelaskelma!$F$46</f>
        <v>32546.135829416453</v>
      </c>
      <c r="H661" s="1"/>
    </row>
    <row r="662" spans="1:8" x14ac:dyDescent="0.25">
      <c r="A662" s="5"/>
      <c r="C662" s="2">
        <v>661</v>
      </c>
      <c r="D662" s="5">
        <v>488.19133931978678</v>
      </c>
      <c r="E662" s="5"/>
      <c r="F662" s="2">
        <f>D662*Katelaskelma!$D$41</f>
        <v>5827.9965187258886</v>
      </c>
      <c r="G662" s="5">
        <f>D662*Lähtötiedot!$C$11+Katelaskelma!$F$31-Katelaskelma!$F$46</f>
        <v>28191.328268125246</v>
      </c>
      <c r="H662" s="1"/>
    </row>
    <row r="663" spans="1:8" x14ac:dyDescent="0.25">
      <c r="A663" s="5"/>
      <c r="C663" s="2">
        <v>662</v>
      </c>
      <c r="D663" s="5">
        <v>1390.3667958100748</v>
      </c>
      <c r="E663" s="5"/>
      <c r="F663" s="2">
        <f>D663*Katelaskelma!$D$41</f>
        <v>16598.108555189523</v>
      </c>
      <c r="G663" s="5">
        <f>D663*Lähtötiedot!$C$11+Katelaskelma!$F$31-Katelaskelma!$F$46</f>
        <v>156300.24308974616</v>
      </c>
      <c r="H663" s="1"/>
    </row>
    <row r="664" spans="1:8" x14ac:dyDescent="0.25">
      <c r="A664" s="5"/>
      <c r="C664" s="2">
        <v>663</v>
      </c>
      <c r="D664" s="5">
        <v>708.07469539120234</v>
      </c>
      <c r="E664" s="5"/>
      <c r="F664" s="2">
        <f>D664*Katelaskelma!$D$41</f>
        <v>8452.9497501689184</v>
      </c>
      <c r="G664" s="5">
        <f>D664*Lähtötiedot!$C$11+Katelaskelma!$F$31-Katelaskelma!$F$46</f>
        <v>59414.764830266271</v>
      </c>
      <c r="H664" s="1"/>
    </row>
    <row r="665" spans="1:8" x14ac:dyDescent="0.25">
      <c r="A665" s="5"/>
      <c r="C665" s="2">
        <v>664</v>
      </c>
      <c r="D665" s="5">
        <v>584.62756342239641</v>
      </c>
      <c r="E665" s="5"/>
      <c r="F665" s="2">
        <f>D665*Katelaskelma!$D$41</f>
        <v>6979.2459020766328</v>
      </c>
      <c r="G665" s="5">
        <f>D665*Lähtötiedot!$C$11+Katelaskelma!$F$31-Katelaskelma!$F$46</f>
        <v>41885.272090695828</v>
      </c>
      <c r="H665" s="1"/>
    </row>
    <row r="666" spans="1:8" x14ac:dyDescent="0.25">
      <c r="A666" s="5"/>
      <c r="C666" s="2">
        <v>665</v>
      </c>
      <c r="D666" s="5">
        <v>388.22964423673085</v>
      </c>
      <c r="E666" s="5"/>
      <c r="F666" s="2">
        <f>D666*Katelaskelma!$D$41</f>
        <v>4634.6602916602633</v>
      </c>
      <c r="G666" s="5">
        <f>D666*Lähtötiedot!$C$11+Katelaskelma!$F$31-Katelaskelma!$F$46</f>
        <v>13996.767566331313</v>
      </c>
      <c r="H666" s="1"/>
    </row>
    <row r="667" spans="1:8" x14ac:dyDescent="0.25">
      <c r="A667" s="5"/>
      <c r="C667" s="2">
        <v>666</v>
      </c>
      <c r="D667" s="5">
        <v>734.34976486887513</v>
      </c>
      <c r="E667" s="5"/>
      <c r="F667" s="2">
        <f>D667*Katelaskelma!$D$41</f>
        <v>8766.6198239939076</v>
      </c>
      <c r="G667" s="5">
        <f>D667*Lähtötiedot!$C$11+Katelaskelma!$F$31-Katelaskelma!$F$46</f>
        <v>63145.824696095806</v>
      </c>
      <c r="H667" s="1"/>
    </row>
    <row r="668" spans="1:8" x14ac:dyDescent="0.25">
      <c r="A668" s="5"/>
      <c r="C668" s="2">
        <v>667</v>
      </c>
      <c r="D668" s="5">
        <v>497.41895552587476</v>
      </c>
      <c r="E668" s="5"/>
      <c r="F668" s="2">
        <f>D668*Katelaskelma!$D$41</f>
        <v>5938.1552019998499</v>
      </c>
      <c r="G668" s="5">
        <f>D668*Lähtötiedot!$C$11+Katelaskelma!$F$31-Katelaskelma!$F$46</f>
        <v>29501.64976938974</v>
      </c>
      <c r="H668" s="1"/>
    </row>
    <row r="669" spans="1:8" x14ac:dyDescent="0.25">
      <c r="A669" s="5"/>
      <c r="C669" s="2">
        <v>668</v>
      </c>
      <c r="D669" s="5">
        <v>868.17049415050337</v>
      </c>
      <c r="E669" s="5"/>
      <c r="F669" s="2">
        <f>D669*Katelaskelma!$D$41</f>
        <v>10364.16300342302</v>
      </c>
      <c r="G669" s="5">
        <f>D669*Lähtötiedot!$C$11+Katelaskelma!$F$31-Katelaskelma!$F$46</f>
        <v>82148.368254087021</v>
      </c>
      <c r="H669" s="1"/>
    </row>
    <row r="670" spans="1:8" x14ac:dyDescent="0.25">
      <c r="A670" s="5"/>
      <c r="C670" s="2">
        <v>669</v>
      </c>
      <c r="D670" s="5">
        <v>892.02465321809746</v>
      </c>
      <c r="E670" s="5"/>
      <c r="F670" s="2">
        <f>D670*Katelaskelma!$D$41</f>
        <v>10648.932405921589</v>
      </c>
      <c r="G670" s="5">
        <f>D670*Lähtötiedot!$C$11+Katelaskelma!$F$31-Katelaskelma!$F$46</f>
        <v>85535.658841685363</v>
      </c>
      <c r="H670" s="1"/>
    </row>
    <row r="671" spans="1:8" x14ac:dyDescent="0.25">
      <c r="A671" s="5"/>
      <c r="C671" s="2">
        <v>670</v>
      </c>
      <c r="D671" s="5">
        <v>403.33898947143808</v>
      </c>
      <c r="E671" s="5"/>
      <c r="F671" s="2">
        <f>D671*Katelaskelma!$D$41</f>
        <v>4815.0346742758875</v>
      </c>
      <c r="G671" s="5">
        <f>D671*Lähtötiedot!$C$11+Katelaskelma!$F$31-Katelaskelma!$F$46</f>
        <v>16142.294589659752</v>
      </c>
      <c r="H671" s="1"/>
    </row>
    <row r="672" spans="1:8" x14ac:dyDescent="0.25">
      <c r="A672" s="5"/>
      <c r="C672" s="2">
        <v>671</v>
      </c>
      <c r="D672" s="5">
        <v>706.17682542980924</v>
      </c>
      <c r="E672" s="5"/>
      <c r="F672" s="2">
        <f>D672*Katelaskelma!$D$41</f>
        <v>8430.2931017666651</v>
      </c>
      <c r="G672" s="5">
        <f>D672*Lähtötiedot!$C$11+Katelaskelma!$F$31-Katelaskelma!$F$46</f>
        <v>59145.267295748461</v>
      </c>
      <c r="H672" s="1"/>
    </row>
    <row r="673" spans="1:8" x14ac:dyDescent="0.25">
      <c r="A673" s="5"/>
      <c r="C673" s="2">
        <v>672</v>
      </c>
      <c r="D673" s="5">
        <v>680.36480516546339</v>
      </c>
      <c r="E673" s="5"/>
      <c r="F673" s="2">
        <f>D673*Katelaskelma!$D$41</f>
        <v>8122.1508793923549</v>
      </c>
      <c r="G673" s="5">
        <f>D673*Lähtötiedot!$C$11+Katelaskelma!$F$31-Katelaskelma!$F$46</f>
        <v>55479.960418211325</v>
      </c>
      <c r="H673" s="1"/>
    </row>
    <row r="674" spans="1:8" x14ac:dyDescent="0.25">
      <c r="A674" s="5"/>
      <c r="C674" s="2">
        <v>673</v>
      </c>
      <c r="D674" s="5">
        <v>803.48643944936862</v>
      </c>
      <c r="E674" s="5"/>
      <c r="F674" s="2">
        <f>D674*Katelaskelma!$D$41</f>
        <v>9591.9689572513998</v>
      </c>
      <c r="G674" s="5">
        <f>D674*Lähtötiedot!$C$11+Katelaskelma!$F$31-Katelaskelma!$F$46</f>
        <v>72963.232486525871</v>
      </c>
      <c r="H674" s="1"/>
    </row>
    <row r="675" spans="1:8" x14ac:dyDescent="0.25">
      <c r="A675" s="5"/>
      <c r="C675" s="2">
        <v>674</v>
      </c>
      <c r="D675" s="5">
        <v>467.35299746653146</v>
      </c>
      <c r="E675" s="5"/>
      <c r="F675" s="2">
        <f>D675*Katelaskelma!$D$41</f>
        <v>5579.2297463656769</v>
      </c>
      <c r="G675" s="5">
        <f>D675*Lähtötiedot!$C$11+Katelaskelma!$F$31-Katelaskelma!$F$46</f>
        <v>25232.283724962996</v>
      </c>
      <c r="H675" s="1"/>
    </row>
    <row r="676" spans="1:8" x14ac:dyDescent="0.25">
      <c r="A676" s="5"/>
      <c r="C676" s="2">
        <v>675</v>
      </c>
      <c r="D676" s="5">
        <v>326.83145065438868</v>
      </c>
      <c r="E676" s="5"/>
      <c r="F676" s="2">
        <f>D676*Katelaskelma!$D$41</f>
        <v>3901.6926422289507</v>
      </c>
      <c r="G676" s="5">
        <f>D676*Lähtötiedot!$C$11+Katelaskelma!$F$31-Katelaskelma!$F$46</f>
        <v>5278.2240776387334</v>
      </c>
      <c r="H676" s="1"/>
    </row>
    <row r="677" spans="1:8" x14ac:dyDescent="0.25">
      <c r="A677" s="5"/>
      <c r="C677" s="2">
        <v>676</v>
      </c>
      <c r="D677" s="5">
        <v>926.5469550313353</v>
      </c>
      <c r="E677" s="5"/>
      <c r="F677" s="2">
        <f>D677*Katelaskelma!$D$41</f>
        <v>11061.057404014115</v>
      </c>
      <c r="G677" s="5">
        <f>D677*Lähtötiedot!$C$11+Katelaskelma!$F$31-Katelaskelma!$F$46</f>
        <v>90437.825699165143</v>
      </c>
      <c r="H677" s="1"/>
    </row>
    <row r="678" spans="1:8" x14ac:dyDescent="0.25">
      <c r="A678" s="5"/>
      <c r="C678" s="2">
        <v>677</v>
      </c>
      <c r="D678" s="5">
        <v>776.68116015365672</v>
      </c>
      <c r="E678" s="5"/>
      <c r="F678" s="2">
        <f>D678*Katelaskelma!$D$41</f>
        <v>9271.9692730362876</v>
      </c>
      <c r="G678" s="5">
        <f>D678*Lähtötiedot!$C$11+Katelaskelma!$F$31-Katelaskelma!$F$46</f>
        <v>69156.882826534798</v>
      </c>
      <c r="H678" s="1"/>
    </row>
    <row r="679" spans="1:8" x14ac:dyDescent="0.25">
      <c r="A679" s="5"/>
      <c r="C679" s="2">
        <v>678</v>
      </c>
      <c r="D679" s="5">
        <v>784.35906932028433</v>
      </c>
      <c r="E679" s="5"/>
      <c r="F679" s="2">
        <f>D679*Katelaskelma!$D$41</f>
        <v>9363.6276542696523</v>
      </c>
      <c r="G679" s="5">
        <f>D679*Lähtötiedot!$C$11+Katelaskelma!$F$31-Katelaskelma!$F$46</f>
        <v>70247.145928195911</v>
      </c>
      <c r="H679" s="1"/>
    </row>
    <row r="680" spans="1:8" x14ac:dyDescent="0.25">
      <c r="A680" s="5"/>
      <c r="C680" s="2">
        <v>679</v>
      </c>
      <c r="D680" s="5">
        <v>439.18156522266082</v>
      </c>
      <c r="E680" s="5"/>
      <c r="F680" s="2">
        <f>D680*Katelaskelma!$D$41</f>
        <v>5242.9210169368389</v>
      </c>
      <c r="G680" s="5">
        <f>D680*Lähtötiedot!$C$11+Katelaskelma!$F$31-Katelaskelma!$F$46</f>
        <v>21231.940346333373</v>
      </c>
      <c r="H680" s="1"/>
    </row>
    <row r="681" spans="1:8" x14ac:dyDescent="0.25">
      <c r="A681" s="5"/>
      <c r="C681" s="2">
        <v>680</v>
      </c>
      <c r="D681" s="5">
        <v>825.94368781491653</v>
      </c>
      <c r="E681" s="5"/>
      <c r="F681" s="2">
        <f>D681*Katelaskelma!$D$41</f>
        <v>9860.0621304669185</v>
      </c>
      <c r="G681" s="5">
        <f>D681*Lähtötiedot!$C$11+Katelaskelma!$F$31-Katelaskelma!$F$46</f>
        <v>76152.161754433677</v>
      </c>
      <c r="H681" s="1"/>
    </row>
    <row r="682" spans="1:8" x14ac:dyDescent="0.25">
      <c r="A682" s="5"/>
      <c r="C682" s="2">
        <v>681</v>
      </c>
      <c r="D682" s="5">
        <v>804.35639110762372</v>
      </c>
      <c r="E682" s="5"/>
      <c r="F682" s="2">
        <f>D682*Katelaskelma!$D$41</f>
        <v>9602.3543836762819</v>
      </c>
      <c r="G682" s="5">
        <f>D682*Lähtötiedot!$C$11+Katelaskelma!$F$31-Katelaskelma!$F$46</f>
        <v>73086.765621998115</v>
      </c>
      <c r="H682" s="1"/>
    </row>
    <row r="683" spans="1:8" x14ac:dyDescent="0.25">
      <c r="A683" s="5"/>
      <c r="C683" s="2">
        <v>682</v>
      </c>
      <c r="D683" s="5">
        <v>184.07648273188789</v>
      </c>
      <c r="E683" s="5"/>
      <c r="F683" s="2">
        <f>D683*Katelaskelma!$D$41</f>
        <v>2197.4931018553352</v>
      </c>
      <c r="G683" s="5">
        <f>D683*Lähtötiedot!$C$11+Katelaskelma!$F$31-Katelaskelma!$F$46</f>
        <v>-14992.981367356377</v>
      </c>
      <c r="H683" s="1"/>
    </row>
    <row r="684" spans="1:8" x14ac:dyDescent="0.25">
      <c r="A684" s="5"/>
      <c r="C684" s="2">
        <v>683</v>
      </c>
      <c r="D684" s="5">
        <v>525.26834071735971</v>
      </c>
      <c r="E684" s="5"/>
      <c r="F684" s="2">
        <f>D684*Katelaskelma!$D$41</f>
        <v>6270.6193546224195</v>
      </c>
      <c r="G684" s="5">
        <f>D684*Lähtötiedot!$C$11+Katelaskelma!$F$31-Katelaskelma!$F$46</f>
        <v>33456.262466580607</v>
      </c>
      <c r="H684" s="1"/>
    </row>
    <row r="685" spans="1:8" x14ac:dyDescent="0.25">
      <c r="A685" s="5"/>
      <c r="C685" s="2">
        <v>684</v>
      </c>
      <c r="D685" s="5">
        <v>1249.1789524345511</v>
      </c>
      <c r="E685" s="5"/>
      <c r="F685" s="2">
        <f>D685*Katelaskelma!$D$41</f>
        <v>14912.617245930613</v>
      </c>
      <c r="G685" s="5">
        <f>D685*Lähtötiedot!$C$11+Katelaskelma!$F$31-Katelaskelma!$F$46</f>
        <v>136251.5693304218</v>
      </c>
      <c r="H685" s="1"/>
    </row>
    <row r="686" spans="1:8" x14ac:dyDescent="0.25">
      <c r="A686" s="5"/>
      <c r="C686" s="2">
        <v>685</v>
      </c>
      <c r="D686" s="5">
        <v>564.48650844020972</v>
      </c>
      <c r="E686" s="5"/>
      <c r="F686" s="2">
        <f>D686*Katelaskelma!$D$41</f>
        <v>6738.8032951201003</v>
      </c>
      <c r="G686" s="5">
        <f>D686*Lähtötiedot!$C$11+Katelaskelma!$F$31-Katelaskelma!$F$46</f>
        <v>39025.242283225321</v>
      </c>
      <c r="H686" s="1"/>
    </row>
    <row r="687" spans="1:8" x14ac:dyDescent="0.25">
      <c r="A687" s="5"/>
      <c r="C687" s="2">
        <v>686</v>
      </c>
      <c r="D687" s="5">
        <v>814.62806462392177</v>
      </c>
      <c r="E687" s="5"/>
      <c r="F687" s="2">
        <f>D687*Katelaskelma!$D$41</f>
        <v>9724.9769553464048</v>
      </c>
      <c r="G687" s="5">
        <f>D687*Lähtötiedot!$C$11+Katelaskelma!$F$31-Katelaskelma!$F$46</f>
        <v>74545.343261312431</v>
      </c>
      <c r="H687" s="1"/>
    </row>
    <row r="688" spans="1:8" x14ac:dyDescent="0.25">
      <c r="A688" s="5"/>
      <c r="C688" s="2">
        <v>687</v>
      </c>
      <c r="D688" s="5">
        <v>1043.5303721366456</v>
      </c>
      <c r="E688" s="5"/>
      <c r="F688" s="2">
        <f>D688*Katelaskelma!$D$41</f>
        <v>12457.597843646559</v>
      </c>
      <c r="G688" s="5">
        <f>D688*Lähtötiedot!$C$11+Katelaskelma!$F$31-Katelaskelma!$F$46</f>
        <v>107049.4709281192</v>
      </c>
      <c r="H688" s="1"/>
    </row>
    <row r="689" spans="1:8" x14ac:dyDescent="0.25">
      <c r="A689" s="5"/>
      <c r="C689" s="2">
        <v>688</v>
      </c>
      <c r="D689" s="5">
        <v>786.71694356939474</v>
      </c>
      <c r="E689" s="5"/>
      <c r="F689" s="2">
        <f>D689*Katelaskelma!$D$41</f>
        <v>9391.7758039983128</v>
      </c>
      <c r="G689" s="5">
        <f>D689*Lähtötiedot!$C$11+Katelaskelma!$F$31-Katelaskelma!$F$46</f>
        <v>70581.964071569586</v>
      </c>
      <c r="H689" s="1"/>
    </row>
    <row r="690" spans="1:8" x14ac:dyDescent="0.25">
      <c r="A690" s="5"/>
      <c r="C690" s="2">
        <v>689</v>
      </c>
      <c r="D690" s="5">
        <v>911.29341728400163</v>
      </c>
      <c r="E690" s="5"/>
      <c r="F690" s="2">
        <f>D690*Katelaskelma!$D$41</f>
        <v>10878.961660542756</v>
      </c>
      <c r="G690" s="5">
        <f>D690*Lähtötiedot!$C$11+Katelaskelma!$F$31-Katelaskelma!$F$46</f>
        <v>88271.823339043767</v>
      </c>
      <c r="H690" s="1"/>
    </row>
    <row r="691" spans="1:8" x14ac:dyDescent="0.25">
      <c r="A691" s="5"/>
      <c r="C691" s="2">
        <v>690</v>
      </c>
      <c r="D691" s="5">
        <v>949.46197465737191</v>
      </c>
      <c r="E691" s="5"/>
      <c r="F691" s="2">
        <f>D691*Katelaskelma!$D$41</f>
        <v>11334.61542082194</v>
      </c>
      <c r="G691" s="5">
        <f>D691*Lähtötiedot!$C$11+Katelaskelma!$F$31-Katelaskelma!$F$46</f>
        <v>93691.758486062346</v>
      </c>
      <c r="H691" s="1"/>
    </row>
    <row r="692" spans="1:8" x14ac:dyDescent="0.25">
      <c r="A692" s="5"/>
      <c r="C692" s="2">
        <v>691</v>
      </c>
      <c r="D692" s="5">
        <v>917.53618133565146</v>
      </c>
      <c r="E692" s="5"/>
      <c r="F692" s="2">
        <f>D692*Katelaskelma!$D$41</f>
        <v>10953.487372553411</v>
      </c>
      <c r="G692" s="5">
        <f>D692*Lähtötiedot!$C$11+Katelaskelma!$F$31-Katelaskelma!$F$46</f>
        <v>89158.295834378048</v>
      </c>
      <c r="H692" s="1"/>
    </row>
    <row r="693" spans="1:8" x14ac:dyDescent="0.25">
      <c r="A693" s="5"/>
      <c r="C693" s="2">
        <v>692</v>
      </c>
      <c r="D693" s="5">
        <v>747.43890209218102</v>
      </c>
      <c r="E693" s="5"/>
      <c r="F693" s="2">
        <f>D693*Katelaskelma!$D$41</f>
        <v>8922.8770945076376</v>
      </c>
      <c r="G693" s="5">
        <f>D693*Lähtötiedot!$C$11+Katelaskelma!$F$31-Katelaskelma!$F$46</f>
        <v>65004.482181805244</v>
      </c>
      <c r="H693" s="1"/>
    </row>
    <row r="694" spans="1:8" x14ac:dyDescent="0.25">
      <c r="A694" s="5"/>
      <c r="C694" s="2">
        <v>693</v>
      </c>
      <c r="D694" s="5">
        <v>725.67065605573566</v>
      </c>
      <c r="E694" s="5"/>
      <c r="F694" s="2">
        <f>D694*Katelaskelma!$D$41</f>
        <v>8663.0091863715825</v>
      </c>
      <c r="G694" s="5">
        <f>D694*Lähtötiedot!$C$11+Katelaskelma!$F$31-Katelaskelma!$F$46</f>
        <v>61913.391244630009</v>
      </c>
      <c r="H694" s="1"/>
    </row>
    <row r="695" spans="1:8" x14ac:dyDescent="0.25">
      <c r="A695" s="5"/>
      <c r="C695" s="2">
        <v>694</v>
      </c>
      <c r="D695" s="5">
        <v>1166.6786730628039</v>
      </c>
      <c r="E695" s="5"/>
      <c r="F695" s="2">
        <f>D695*Katelaskelma!$D$41</f>
        <v>13927.734266149802</v>
      </c>
      <c r="G695" s="5">
        <f>D695*Lähtötiedot!$C$11+Katelaskelma!$F$31-Katelaskelma!$F$46</f>
        <v>124536.5296596337</v>
      </c>
      <c r="H695" s="1"/>
    </row>
    <row r="696" spans="1:8" x14ac:dyDescent="0.25">
      <c r="A696" s="5"/>
      <c r="C696" s="2">
        <v>695</v>
      </c>
      <c r="D696" s="5">
        <v>514.92416648538915</v>
      </c>
      <c r="E696" s="5"/>
      <c r="F696" s="2">
        <f>D696*Katelaskelma!$D$41</f>
        <v>6147.1312741148531</v>
      </c>
      <c r="G696" s="5">
        <f>D696*Lähtötiedot!$C$11+Katelaskelma!$F$31-Katelaskelma!$F$46</f>
        <v>31987.389725640794</v>
      </c>
      <c r="H696" s="1"/>
    </row>
    <row r="697" spans="1:8" x14ac:dyDescent="0.25">
      <c r="A697" s="5"/>
      <c r="C697" s="2">
        <v>696</v>
      </c>
      <c r="D697" s="5">
        <v>646.19996474661161</v>
      </c>
      <c r="E697" s="5"/>
      <c r="F697" s="2">
        <f>D697*Katelaskelma!$D$41</f>
        <v>7714.2932322220395</v>
      </c>
      <c r="G697" s="5">
        <f>D697*Lähtötiedot!$C$11+Katelaskelma!$F$31-Katelaskelma!$F$46</f>
        <v>50628.553078734374</v>
      </c>
      <c r="H697" s="1"/>
    </row>
    <row r="698" spans="1:8" x14ac:dyDescent="0.25">
      <c r="A698" s="5"/>
      <c r="C698" s="2">
        <v>697</v>
      </c>
      <c r="D698" s="5">
        <v>1470.1691219383104</v>
      </c>
      <c r="E698" s="5"/>
      <c r="F698" s="2">
        <f>D698*Katelaskelma!$D$41</f>
        <v>17550.783544282134</v>
      </c>
      <c r="G698" s="5">
        <f>D698*Lähtötiedot!$C$11+Katelaskelma!$F$31-Katelaskelma!$F$46</f>
        <v>167632.17339995562</v>
      </c>
      <c r="H698" s="1"/>
    </row>
    <row r="699" spans="1:8" x14ac:dyDescent="0.25">
      <c r="A699" s="5"/>
      <c r="C699" s="2">
        <v>698</v>
      </c>
      <c r="D699" s="5">
        <v>427.90647647525458</v>
      </c>
      <c r="E699" s="5"/>
      <c r="F699" s="2">
        <f>D699*Katelaskelma!$D$41</f>
        <v>5108.3197393726641</v>
      </c>
      <c r="G699" s="5">
        <f>D699*Lähtötiedot!$C$11+Katelaskelma!$F$31-Katelaskelma!$F$46</f>
        <v>19630.877744201687</v>
      </c>
      <c r="H699" s="1"/>
    </row>
    <row r="700" spans="1:8" x14ac:dyDescent="0.25">
      <c r="A700" s="5"/>
      <c r="C700" s="2">
        <v>699</v>
      </c>
      <c r="D700" s="5">
        <v>727.04801260567524</v>
      </c>
      <c r="E700" s="5"/>
      <c r="F700" s="2">
        <f>D700*Katelaskelma!$D$41</f>
        <v>8679.4519794561056</v>
      </c>
      <c r="G700" s="5">
        <f>D700*Lähtötiedot!$C$11+Katelaskelma!$F$31-Katelaskelma!$F$46</f>
        <v>62108.975874721422</v>
      </c>
      <c r="H700" s="1"/>
    </row>
    <row r="701" spans="1:8" x14ac:dyDescent="0.25">
      <c r="A701" s="5"/>
      <c r="C701" s="2">
        <v>700</v>
      </c>
      <c r="D701" s="5">
        <v>743.28844214586456</v>
      </c>
      <c r="E701" s="5"/>
      <c r="F701" s="2">
        <f>D701*Katelaskelma!$D$41</f>
        <v>8873.3291730882465</v>
      </c>
      <c r="G701" s="5">
        <f>D701*Lähtötiedot!$C$11+Katelaskelma!$F$31-Katelaskelma!$F$46</f>
        <v>64415.116869428311</v>
      </c>
      <c r="H701" s="1"/>
    </row>
    <row r="702" spans="1:8" x14ac:dyDescent="0.25">
      <c r="A702" s="5"/>
      <c r="C702" s="2">
        <v>701</v>
      </c>
      <c r="D702" s="5">
        <v>725.80417534881713</v>
      </c>
      <c r="E702" s="5"/>
      <c r="F702" s="2">
        <f>D702*Katelaskelma!$D$41</f>
        <v>8664.6031310252201</v>
      </c>
      <c r="G702" s="5">
        <f>D702*Lähtötiedot!$C$11+Katelaskelma!$F$31-Katelaskelma!$F$46</f>
        <v>61932.350984247576</v>
      </c>
      <c r="H702" s="1"/>
    </row>
    <row r="703" spans="1:8" x14ac:dyDescent="0.25">
      <c r="A703" s="5"/>
      <c r="C703" s="2">
        <v>702</v>
      </c>
      <c r="D703" s="5">
        <v>632.68198185157894</v>
      </c>
      <c r="E703" s="5"/>
      <c r="F703" s="2">
        <f>D703*Katelaskelma!$D$41</f>
        <v>7552.9164299169897</v>
      </c>
      <c r="G703" s="5">
        <f>D703*Lähtötiedot!$C$11+Katelaskelma!$F$31-Katelaskelma!$F$46</f>
        <v>48708.999507639732</v>
      </c>
      <c r="H703" s="1"/>
    </row>
    <row r="704" spans="1:8" x14ac:dyDescent="0.25">
      <c r="A704" s="5"/>
      <c r="C704" s="2">
        <v>703</v>
      </c>
      <c r="D704" s="5">
        <v>564.82079386767668</v>
      </c>
      <c r="E704" s="5"/>
      <c r="F704" s="2">
        <f>D704*Katelaskelma!$D$41</f>
        <v>6742.7939728536558</v>
      </c>
      <c r="G704" s="5">
        <f>D704*Lähtötiedot!$C$11+Katelaskelma!$F$31-Katelaskelma!$F$46</f>
        <v>39072.710813925631</v>
      </c>
      <c r="H704" s="1"/>
    </row>
    <row r="705" spans="1:8" x14ac:dyDescent="0.25">
      <c r="A705" s="5"/>
      <c r="C705" s="2">
        <v>704</v>
      </c>
      <c r="D705" s="5">
        <v>244.72972188378463</v>
      </c>
      <c r="E705" s="5"/>
      <c r="F705" s="2">
        <f>D705*Katelaskelma!$D$41</f>
        <v>2921.5675336533836</v>
      </c>
      <c r="G705" s="5">
        <f>D705*Lähtötiedot!$C$11+Katelaskelma!$F$31-Katelaskelma!$F$46</f>
        <v>-6380.2214077870449</v>
      </c>
      <c r="H705" s="1"/>
    </row>
    <row r="706" spans="1:8" x14ac:dyDescent="0.25">
      <c r="A706" s="5"/>
      <c r="C706" s="2">
        <v>705</v>
      </c>
      <c r="D706" s="5">
        <v>1190.2564122135143</v>
      </c>
      <c r="E706" s="5"/>
      <c r="F706" s="2">
        <f>D706*Katelaskelma!$D$41</f>
        <v>14209.203785623922</v>
      </c>
      <c r="G706" s="5">
        <f>D706*Lähtötiedot!$C$11+Katelaskelma!$F$31-Katelaskelma!$F$46</f>
        <v>127884.56861903457</v>
      </c>
      <c r="H706" s="1"/>
    </row>
    <row r="707" spans="1:8" x14ac:dyDescent="0.25">
      <c r="A707" s="5"/>
      <c r="C707" s="2">
        <v>706</v>
      </c>
      <c r="D707" s="5">
        <v>975.18544550729825</v>
      </c>
      <c r="E707" s="5"/>
      <c r="F707" s="2">
        <f>D707*Katelaskelma!$D$41</f>
        <v>11641.700546034936</v>
      </c>
      <c r="G707" s="5">
        <f>D707*Lähtötiedot!$C$11+Katelaskelma!$F$31-Katelaskelma!$F$46</f>
        <v>97344.491346751893</v>
      </c>
      <c r="H707" s="1"/>
    </row>
    <row r="708" spans="1:8" x14ac:dyDescent="0.25">
      <c r="A708" s="5"/>
      <c r="C708" s="2">
        <v>707</v>
      </c>
      <c r="D708" s="5">
        <v>1433.1936596285052</v>
      </c>
      <c r="E708" s="5"/>
      <c r="F708" s="2">
        <f>D708*Katelaskelma!$D$41</f>
        <v>17109.372875424142</v>
      </c>
      <c r="G708" s="5">
        <f>D708*Lähtötiedot!$C$11+Katelaskelma!$F$31-Katelaskelma!$F$46</f>
        <v>162381.65775196324</v>
      </c>
      <c r="H708" s="1"/>
    </row>
    <row r="709" spans="1:8" x14ac:dyDescent="0.25">
      <c r="A709" s="5"/>
      <c r="C709" s="2">
        <v>708</v>
      </c>
      <c r="D709" s="5">
        <v>988.64160649525661</v>
      </c>
      <c r="E709" s="5"/>
      <c r="F709" s="2">
        <f>D709*Katelaskelma!$D$41</f>
        <v>11802.339322426391</v>
      </c>
      <c r="G709" s="5">
        <f>D709*Lähtötiedot!$C$11+Katelaskelma!$F$31-Katelaskelma!$F$46</f>
        <v>99255.266207041976</v>
      </c>
      <c r="H709" s="1"/>
    </row>
    <row r="710" spans="1:8" x14ac:dyDescent="0.25">
      <c r="A710" s="5"/>
      <c r="C710" s="2">
        <v>709</v>
      </c>
      <c r="D710" s="5">
        <v>91.742391044918179</v>
      </c>
      <c r="E710" s="5"/>
      <c r="F710" s="2">
        <f>D710*Katelaskelma!$D$41</f>
        <v>1095.21470899986</v>
      </c>
      <c r="G710" s="5">
        <f>D710*Lähtötiedot!$C$11+Katelaskelma!$F$31-Katelaskelma!$F$46</f>
        <v>-28104.422386906081</v>
      </c>
      <c r="H710" s="1"/>
    </row>
    <row r="711" spans="1:8" x14ac:dyDescent="0.25">
      <c r="A711" s="5"/>
      <c r="C711" s="2">
        <v>710</v>
      </c>
      <c r="D711" s="5">
        <v>766.77026287000785</v>
      </c>
      <c r="E711" s="5"/>
      <c r="F711" s="2">
        <f>D711*Katelaskelma!$D$41</f>
        <v>9153.6536246123833</v>
      </c>
      <c r="G711" s="5">
        <f>D711*Lähtötiedot!$C$11+Katelaskelma!$F$31-Katelaskelma!$F$46</f>
        <v>67749.535412256664</v>
      </c>
      <c r="H711" s="1"/>
    </row>
    <row r="712" spans="1:8" x14ac:dyDescent="0.25">
      <c r="A712" s="5"/>
      <c r="C712" s="2">
        <v>711</v>
      </c>
      <c r="D712" s="5">
        <v>756.87692738022201</v>
      </c>
      <c r="E712" s="5"/>
      <c r="F712" s="2">
        <f>D712*Katelaskelma!$D$41</f>
        <v>9035.547627743621</v>
      </c>
      <c r="G712" s="5">
        <f>D712*Lähtötiedot!$C$11+Katelaskelma!$F$31-Katelaskelma!$F$46</f>
        <v>66344.681772707059</v>
      </c>
      <c r="H712" s="1"/>
    </row>
    <row r="713" spans="1:8" x14ac:dyDescent="0.25">
      <c r="A713" s="5"/>
      <c r="C713" s="2">
        <v>712</v>
      </c>
      <c r="D713" s="5">
        <v>638.8097745729649</v>
      </c>
      <c r="E713" s="5"/>
      <c r="F713" s="2">
        <f>D713*Katelaskelma!$D$41</f>
        <v>7626.0696216501137</v>
      </c>
      <c r="G713" s="5">
        <f>D713*Lähtötiedot!$C$11+Katelaskelma!$F$31-Katelaskelma!$F$46</f>
        <v>49579.146074076561</v>
      </c>
      <c r="H713" s="1"/>
    </row>
    <row r="714" spans="1:8" x14ac:dyDescent="0.25">
      <c r="A714" s="5"/>
      <c r="C714" s="2">
        <v>713</v>
      </c>
      <c r="D714" s="5">
        <v>1062.8623523068898</v>
      </c>
      <c r="E714" s="5"/>
      <c r="F714" s="2">
        <f>D714*Katelaskelma!$D$41</f>
        <v>12688.381768017776</v>
      </c>
      <c r="G714" s="5">
        <f>D714*Lähtötiedot!$C$11+Katelaskelma!$F$31-Katelaskelma!$F$46</f>
        <v>109794.61211229389</v>
      </c>
      <c r="H714" s="1"/>
    </row>
    <row r="715" spans="1:8" x14ac:dyDescent="0.25">
      <c r="A715" s="5"/>
      <c r="C715" s="2">
        <v>714</v>
      </c>
      <c r="D715" s="5">
        <v>694.52085153037137</v>
      </c>
      <c r="E715" s="5"/>
      <c r="F715" s="2">
        <f>D715*Katelaskelma!$D$41</f>
        <v>8291.144841982019</v>
      </c>
      <c r="G715" s="5">
        <f>D715*Lähtötiedot!$C$11+Katelaskelma!$F$31-Katelaskelma!$F$46</f>
        <v>57490.119002028281</v>
      </c>
      <c r="H715" s="1"/>
    </row>
    <row r="716" spans="1:8" x14ac:dyDescent="0.25">
      <c r="A716" s="5"/>
      <c r="C716" s="2">
        <v>715</v>
      </c>
      <c r="D716" s="5">
        <v>720.09129483501761</v>
      </c>
      <c r="E716" s="5"/>
      <c r="F716" s="2">
        <f>D716*Katelaskelma!$D$41</f>
        <v>8596.4031342929738</v>
      </c>
      <c r="G716" s="5">
        <f>D716*Lähtötiedot!$C$11+Katelaskelma!$F$31-Katelaskelma!$F$46</f>
        <v>61121.121951288049</v>
      </c>
      <c r="H716" s="1"/>
    </row>
    <row r="717" spans="1:8" x14ac:dyDescent="0.25">
      <c r="A717" s="5"/>
      <c r="C717" s="2">
        <v>716</v>
      </c>
      <c r="D717" s="5">
        <v>565.35440002361543</v>
      </c>
      <c r="E717" s="5"/>
      <c r="F717" s="2">
        <f>D717*Katelaskelma!$D$41</f>
        <v>6749.1641285051564</v>
      </c>
      <c r="G717" s="5">
        <f>D717*Lähtötiedot!$C$11+Katelaskelma!$F$31-Katelaskelma!$F$46</f>
        <v>39148.482888068917</v>
      </c>
      <c r="H717" s="1"/>
    </row>
    <row r="718" spans="1:8" x14ac:dyDescent="0.25">
      <c r="A718" s="5"/>
      <c r="C718" s="2">
        <v>717</v>
      </c>
      <c r="D718" s="5">
        <v>641.72996995919061</v>
      </c>
      <c r="E718" s="5"/>
      <c r="F718" s="2">
        <f>D718*Katelaskelma!$D$41</f>
        <v>7660.9307246115795</v>
      </c>
      <c r="G718" s="5">
        <f>D718*Lähtötiedot!$C$11+Katelaskelma!$F$31-Katelaskelma!$F$46</f>
        <v>49993.813818920607</v>
      </c>
      <c r="H718" s="1"/>
    </row>
    <row r="719" spans="1:8" x14ac:dyDescent="0.25">
      <c r="A719" s="5"/>
      <c r="C719" s="2">
        <v>718</v>
      </c>
      <c r="D719" s="5">
        <v>1054.5231794038048</v>
      </c>
      <c r="E719" s="5"/>
      <c r="F719" s="2">
        <f>D719*Katelaskelma!$D$41</f>
        <v>12588.829263223344</v>
      </c>
      <c r="G719" s="5">
        <f>D719*Lähtötiedot!$C$11+Katelaskelma!$F$31-Katelaskelma!$F$46</f>
        <v>108610.44956005583</v>
      </c>
      <c r="H719" s="1"/>
    </row>
    <row r="720" spans="1:8" x14ac:dyDescent="0.25">
      <c r="A720" s="5"/>
      <c r="C720" s="2">
        <v>719</v>
      </c>
      <c r="D720" s="5">
        <v>822.85224536653664</v>
      </c>
      <c r="E720" s="5"/>
      <c r="F720" s="2">
        <f>D720*Katelaskelma!$D$41</f>
        <v>9823.1566911936552</v>
      </c>
      <c r="G720" s="5">
        <f>D720*Lähtötiedot!$C$11+Katelaskelma!$F$31-Katelaskelma!$F$46</f>
        <v>75713.176926763728</v>
      </c>
      <c r="H720" s="1"/>
    </row>
    <row r="721" spans="1:8" x14ac:dyDescent="0.25">
      <c r="A721" s="5"/>
      <c r="C721" s="2">
        <v>720</v>
      </c>
      <c r="D721" s="5">
        <v>1523.5851490631778</v>
      </c>
      <c r="E721" s="5"/>
      <c r="F721" s="2">
        <f>D721*Katelaskelma!$D$41</f>
        <v>18188.460608692272</v>
      </c>
      <c r="G721" s="5">
        <f>D721*Lähtötiedot!$C$11+Katelaskelma!$F$31-Katelaskelma!$F$46</f>
        <v>175217.24925168679</v>
      </c>
      <c r="H721" s="1"/>
    </row>
    <row r="722" spans="1:8" x14ac:dyDescent="0.25">
      <c r="A722" s="5"/>
      <c r="C722" s="2">
        <v>721</v>
      </c>
      <c r="D722" s="5">
        <v>1073.2759422338097</v>
      </c>
      <c r="E722" s="5"/>
      <c r="F722" s="2">
        <f>D722*Katelaskelma!$D$41</f>
        <v>12812.698528585652</v>
      </c>
      <c r="G722" s="5">
        <f>D722*Lähtötiedot!$C$11+Katelaskelma!$F$31-Katelaskelma!$F$46</f>
        <v>111273.34188191651</v>
      </c>
      <c r="H722" s="1"/>
    </row>
    <row r="723" spans="1:8" x14ac:dyDescent="0.25">
      <c r="A723" s="5"/>
      <c r="C723" s="2">
        <v>722</v>
      </c>
      <c r="D723" s="5">
        <v>336.4904504573131</v>
      </c>
      <c r="E723" s="5"/>
      <c r="F723" s="2">
        <f>D723*Katelaskelma!$D$41</f>
        <v>4017.0011548794455</v>
      </c>
      <c r="G723" s="5">
        <f>D723*Lähtötiedot!$C$11+Katelaskelma!$F$31-Katelaskelma!$F$46</f>
        <v>6649.8020496539975</v>
      </c>
      <c r="H723" s="1"/>
    </row>
    <row r="724" spans="1:8" x14ac:dyDescent="0.25">
      <c r="A724" s="5"/>
      <c r="C724" s="2">
        <v>723</v>
      </c>
      <c r="D724" s="5">
        <v>964.87722328701443</v>
      </c>
      <c r="E724" s="5"/>
      <c r="F724" s="2">
        <f>D724*Katelaskelma!$D$41</f>
        <v>11518.641658309125</v>
      </c>
      <c r="G724" s="5">
        <f>D724*Lähtötiedot!$C$11+Katelaskelma!$F$31-Katelaskelma!$F$46</f>
        <v>95880.723791471595</v>
      </c>
      <c r="H724" s="1"/>
    </row>
    <row r="725" spans="1:8" x14ac:dyDescent="0.25">
      <c r="A725" s="5"/>
      <c r="C725" s="2">
        <v>724</v>
      </c>
      <c r="D725" s="5">
        <v>337.0757757042241</v>
      </c>
      <c r="E725" s="5"/>
      <c r="F725" s="2">
        <f>D725*Katelaskelma!$D$41</f>
        <v>4023.9887296817201</v>
      </c>
      <c r="G725" s="5">
        <f>D725*Lähtötiedot!$C$11+Katelaskelma!$F$31-Katelaskelma!$F$46</f>
        <v>6732.9182347153546</v>
      </c>
      <c r="H725" s="1"/>
    </row>
    <row r="726" spans="1:8" x14ac:dyDescent="0.25">
      <c r="A726" s="5"/>
      <c r="C726" s="2">
        <v>725</v>
      </c>
      <c r="D726" s="5">
        <v>358.43460472760881</v>
      </c>
      <c r="E726" s="5"/>
      <c r="F726" s="2">
        <f>D726*Katelaskelma!$D$41</f>
        <v>4278.969044092436</v>
      </c>
      <c r="G726" s="5">
        <f>D726*Lähtötiedot!$C$11+Katelaskelma!$F$31-Katelaskelma!$F$46</f>
        <v>9765.8719560359896</v>
      </c>
      <c r="H726" s="1"/>
    </row>
    <row r="727" spans="1:8" x14ac:dyDescent="0.25">
      <c r="A727" s="5"/>
      <c r="C727" s="2">
        <v>726</v>
      </c>
      <c r="D727" s="5">
        <v>400.06050443230816</v>
      </c>
      <c r="E727" s="5"/>
      <c r="F727" s="2">
        <f>D727*Katelaskelma!$D$41</f>
        <v>4775.8963326957883</v>
      </c>
      <c r="G727" s="5">
        <f>D727*Lähtötiedot!$C$11+Katelaskelma!$F$31-Katelaskelma!$F$46</f>
        <v>15676.749714103295</v>
      </c>
      <c r="H727" s="1"/>
    </row>
    <row r="728" spans="1:8" x14ac:dyDescent="0.25">
      <c r="A728" s="5"/>
      <c r="C728" s="2">
        <v>727</v>
      </c>
      <c r="D728" s="5">
        <v>891.63207996716096</v>
      </c>
      <c r="E728" s="5"/>
      <c r="F728" s="2">
        <f>D728*Katelaskelma!$D$41</f>
        <v>10644.245891935105</v>
      </c>
      <c r="G728" s="5">
        <f>D728*Lähtötiedot!$C$11+Katelaskelma!$F$31-Katelaskelma!$F$46</f>
        <v>85479.913440052391</v>
      </c>
      <c r="H728" s="1"/>
    </row>
    <row r="729" spans="1:8" x14ac:dyDescent="0.25">
      <c r="A729" s="5"/>
      <c r="C729" s="2">
        <v>728</v>
      </c>
      <c r="D729" s="5">
        <v>158.36697088720331</v>
      </c>
      <c r="E729" s="5"/>
      <c r="F729" s="2">
        <f>D729*Katelaskelma!$D$41</f>
        <v>1890.57461834079</v>
      </c>
      <c r="G729" s="5">
        <f>D729*Lähtötiedot!$C$11+Katelaskelma!$F$31-Katelaskelma!$F$46</f>
        <v>-18643.732049301587</v>
      </c>
      <c r="H729" s="1"/>
    </row>
    <row r="730" spans="1:8" x14ac:dyDescent="0.25">
      <c r="A730" s="5"/>
      <c r="C730" s="2">
        <v>729</v>
      </c>
      <c r="D730" s="5">
        <v>240.39339318276581</v>
      </c>
      <c r="E730" s="5"/>
      <c r="F730" s="2">
        <f>D730*Katelaskelma!$D$41</f>
        <v>2869.8007231056972</v>
      </c>
      <c r="G730" s="5">
        <f>D730*Lähtötiedot!$C$11+Katelaskelma!$F$31-Katelaskelma!$F$46</f>
        <v>-6995.9800833317277</v>
      </c>
      <c r="H730" s="1"/>
    </row>
    <row r="731" spans="1:8" x14ac:dyDescent="0.25">
      <c r="A731" s="5"/>
      <c r="C731" s="2">
        <v>730</v>
      </c>
      <c r="D731" s="5">
        <v>638.85701913541357</v>
      </c>
      <c r="E731" s="5"/>
      <c r="F731" s="2">
        <f>D731*Katelaskelma!$D$41</f>
        <v>7626.6336241698291</v>
      </c>
      <c r="G731" s="5">
        <f>D731*Lähtötiedot!$C$11+Katelaskelma!$F$31-Katelaskelma!$F$46</f>
        <v>49585.854801944253</v>
      </c>
      <c r="H731" s="1"/>
    </row>
    <row r="732" spans="1:8" x14ac:dyDescent="0.25">
      <c r="A732" s="5"/>
      <c r="C732" s="2">
        <v>731</v>
      </c>
      <c r="D732" s="5">
        <v>687.03077033035174</v>
      </c>
      <c r="E732" s="5"/>
      <c r="F732" s="2">
        <f>D732*Katelaskelma!$D$41</f>
        <v>8201.7287388215027</v>
      </c>
      <c r="G732" s="5">
        <f>D732*Lähtötiedot!$C$11+Katelaskelma!$F$31-Katelaskelma!$F$46</f>
        <v>56426.527471625479</v>
      </c>
      <c r="H732" s="1"/>
    </row>
    <row r="733" spans="1:8" x14ac:dyDescent="0.25">
      <c r="A733" s="5"/>
      <c r="C733" s="2">
        <v>732</v>
      </c>
      <c r="D733" s="5">
        <v>895.06988556678721</v>
      </c>
      <c r="E733" s="5"/>
      <c r="F733" s="2">
        <f>D733*Katelaskelma!$D$41</f>
        <v>10685.286192024398</v>
      </c>
      <c r="G733" s="5">
        <f>D733*Lähtötiedot!$C$11+Katelaskelma!$F$31-Katelaskelma!$F$46</f>
        <v>85968.081835199322</v>
      </c>
      <c r="H733" s="1"/>
    </row>
    <row r="734" spans="1:8" x14ac:dyDescent="0.25">
      <c r="A734" s="5"/>
      <c r="C734" s="2">
        <v>733</v>
      </c>
      <c r="D734" s="5">
        <v>946.42592278134384</v>
      </c>
      <c r="E734" s="5"/>
      <c r="F734" s="2">
        <f>D734*Katelaskelma!$D$41</f>
        <v>11298.371230605831</v>
      </c>
      <c r="G734" s="5">
        <f>D734*Lähtötiedot!$C$11+Katelaskelma!$F$31-Katelaskelma!$F$46</f>
        <v>93260.639119666361</v>
      </c>
      <c r="H734" s="1"/>
    </row>
    <row r="735" spans="1:8" x14ac:dyDescent="0.25">
      <c r="A735" s="5"/>
      <c r="C735" s="2">
        <v>734</v>
      </c>
      <c r="D735" s="5">
        <v>598.67889170223293</v>
      </c>
      <c r="E735" s="5"/>
      <c r="F735" s="2">
        <f>D735*Katelaskelma!$D$41</f>
        <v>7146.989746964302</v>
      </c>
      <c r="G735" s="5">
        <f>D735*Lähtötiedot!$C$11+Katelaskelma!$F$31-Katelaskelma!$F$46</f>
        <v>43880.560706432618</v>
      </c>
      <c r="H735" s="1"/>
    </row>
    <row r="736" spans="1:8" x14ac:dyDescent="0.25">
      <c r="A736" s="5"/>
      <c r="C736" s="2">
        <v>735</v>
      </c>
      <c r="D736" s="5">
        <v>832.43456298590968</v>
      </c>
      <c r="E736" s="5"/>
      <c r="F736" s="2">
        <f>D736*Katelaskelma!$D$41</f>
        <v>9937.5497769146023</v>
      </c>
      <c r="G736" s="5">
        <f>D736*Lähtötiedot!$C$11+Katelaskelma!$F$31-Katelaskelma!$F$46</f>
        <v>77073.866028714721</v>
      </c>
      <c r="H736" s="1"/>
    </row>
    <row r="737" spans="1:8" x14ac:dyDescent="0.25">
      <c r="A737" s="5"/>
      <c r="C737" s="2">
        <v>736</v>
      </c>
      <c r="D737" s="5">
        <v>1237.3960732411417</v>
      </c>
      <c r="E737" s="5"/>
      <c r="F737" s="2">
        <f>D737*Katelaskelma!$D$41</f>
        <v>14771.953998984367</v>
      </c>
      <c r="G737" s="5">
        <f>D737*Lähtötiedot!$C$11+Katelaskelma!$F$31-Katelaskelma!$F$46</f>
        <v>134578.40048495767</v>
      </c>
      <c r="H737" s="1"/>
    </row>
    <row r="738" spans="1:8" x14ac:dyDescent="0.25">
      <c r="A738" s="5"/>
      <c r="C738" s="2">
        <v>737</v>
      </c>
      <c r="D738" s="5">
        <v>384.30768950910425</v>
      </c>
      <c r="E738" s="5"/>
      <c r="F738" s="2">
        <f>D738*Katelaskelma!$D$41</f>
        <v>4587.8402507085821</v>
      </c>
      <c r="G738" s="5">
        <f>D738*Lähtötiedot!$C$11+Katelaskelma!$F$31-Katelaskelma!$F$46</f>
        <v>13439.849995008335</v>
      </c>
      <c r="H738" s="1"/>
    </row>
    <row r="739" spans="1:8" x14ac:dyDescent="0.25">
      <c r="A739" s="5"/>
      <c r="C739" s="2">
        <v>738</v>
      </c>
      <c r="D739" s="5">
        <v>716.77577277099203</v>
      </c>
      <c r="E739" s="5"/>
      <c r="F739" s="2">
        <f>D739*Katelaskelma!$D$41</f>
        <v>8556.8226471138623</v>
      </c>
      <c r="G739" s="5">
        <f>D739*Lähtötiedot!$C$11+Katelaskelma!$F$31-Katelaskelma!$F$46</f>
        <v>60650.317818196403</v>
      </c>
      <c r="H739" s="1"/>
    </row>
    <row r="740" spans="1:8" x14ac:dyDescent="0.25">
      <c r="A740" s="5"/>
      <c r="C740" s="2">
        <v>739</v>
      </c>
      <c r="D740" s="5">
        <v>795.99704364685635</v>
      </c>
      <c r="E740" s="5"/>
      <c r="F740" s="2">
        <f>D740*Katelaskelma!$D$41</f>
        <v>9502.5610363218348</v>
      </c>
      <c r="G740" s="5">
        <f>D740*Lähtötiedot!$C$11+Katelaskelma!$F$31-Katelaskelma!$F$46</f>
        <v>71899.738282569131</v>
      </c>
      <c r="H740" s="1"/>
    </row>
    <row r="741" spans="1:8" x14ac:dyDescent="0.25">
      <c r="A741" s="5"/>
      <c r="C741" s="2">
        <v>740</v>
      </c>
      <c r="D741" s="5">
        <v>772.97702640006605</v>
      </c>
      <c r="E741" s="5"/>
      <c r="F741" s="2">
        <f>D741*Katelaskelma!$D$41</f>
        <v>9227.7495647331871</v>
      </c>
      <c r="G741" s="5">
        <f>D741*Lähtötiedot!$C$11+Katelaskelma!$F$31-Katelaskelma!$F$46</f>
        <v>68630.895833524904</v>
      </c>
      <c r="H741" s="1"/>
    </row>
    <row r="742" spans="1:8" x14ac:dyDescent="0.25">
      <c r="A742" s="5"/>
      <c r="C742" s="2">
        <v>741</v>
      </c>
      <c r="D742" s="5">
        <v>740.57583168698034</v>
      </c>
      <c r="E742" s="5"/>
      <c r="F742" s="2">
        <f>D742*Katelaskelma!$D$41</f>
        <v>8840.9462055143777</v>
      </c>
      <c r="G742" s="5">
        <f>D742*Lähtötiedot!$C$11+Katelaskelma!$F$31-Katelaskelma!$F$46</f>
        <v>64029.926184266747</v>
      </c>
      <c r="H742" s="1"/>
    </row>
    <row r="743" spans="1:8" x14ac:dyDescent="0.25">
      <c r="A743" s="5"/>
      <c r="C743" s="2">
        <v>742</v>
      </c>
      <c r="D743" s="5">
        <v>593.3165422236309</v>
      </c>
      <c r="E743" s="5"/>
      <c r="F743" s="2">
        <f>D743*Katelaskelma!$D$41</f>
        <v>7082.9743669761438</v>
      </c>
      <c r="G743" s="5">
        <f>D743*Lähtötiedot!$C$11+Katelaskelma!$F$31-Katelaskelma!$F$46</f>
        <v>43119.10708047112</v>
      </c>
      <c r="H743" s="1"/>
    </row>
    <row r="744" spans="1:8" x14ac:dyDescent="0.25">
      <c r="A744" s="5"/>
      <c r="C744" s="2">
        <v>743</v>
      </c>
      <c r="D744" s="5">
        <v>1317.7668219826694</v>
      </c>
      <c r="E744" s="5"/>
      <c r="F744" s="2">
        <f>D744*Katelaskelma!$D$41</f>
        <v>15731.414780336314</v>
      </c>
      <c r="G744" s="5">
        <f>D744*Lähtötiedot!$C$11+Katelaskelma!$F$31-Katelaskelma!$F$46</f>
        <v>145991.0468062546</v>
      </c>
      <c r="H744" s="1"/>
    </row>
    <row r="745" spans="1:8" x14ac:dyDescent="0.25">
      <c r="A745" s="5"/>
      <c r="C745" s="2">
        <v>744</v>
      </c>
      <c r="D745" s="5">
        <v>1056.2170073163445</v>
      </c>
      <c r="E745" s="5"/>
      <c r="F745" s="2">
        <f>D745*Katelaskelma!$D$41</f>
        <v>12609.050070891413</v>
      </c>
      <c r="G745" s="5">
        <f>D745*Lähtötiedot!$C$11+Katelaskelma!$F$31-Katelaskelma!$F$46</f>
        <v>108850.97312363648</v>
      </c>
      <c r="H745" s="1"/>
    </row>
    <row r="746" spans="1:8" x14ac:dyDescent="0.25">
      <c r="A746" s="5"/>
      <c r="C746" s="2">
        <v>745</v>
      </c>
      <c r="D746" s="5">
        <v>452.58949874162982</v>
      </c>
      <c r="E746" s="5"/>
      <c r="F746" s="2">
        <f>D746*Katelaskelma!$D$41</f>
        <v>5402.9840569341004</v>
      </c>
      <c r="G746" s="5">
        <f>D746*Lähtötiedot!$C$11+Katelaskelma!$F$31-Katelaskelma!$F$46</f>
        <v>23135.86690602696</v>
      </c>
      <c r="H746" s="1"/>
    </row>
    <row r="747" spans="1:8" x14ac:dyDescent="0.25">
      <c r="A747" s="5"/>
      <c r="C747" s="2">
        <v>746</v>
      </c>
      <c r="D747" s="5">
        <v>1092.3352103781215</v>
      </c>
      <c r="E747" s="5"/>
      <c r="F747" s="2">
        <f>D747*Katelaskelma!$D$41</f>
        <v>13040.226834493904</v>
      </c>
      <c r="G747" s="5">
        <f>D747*Lähtötiedot!$C$11+Katelaskelma!$F$31-Katelaskelma!$F$46</f>
        <v>113979.75795840879</v>
      </c>
      <c r="H747" s="1"/>
    </row>
    <row r="748" spans="1:8" x14ac:dyDescent="0.25">
      <c r="A748" s="5"/>
      <c r="C748" s="2">
        <v>747</v>
      </c>
      <c r="D748" s="5">
        <v>766.46715643619723</v>
      </c>
      <c r="E748" s="5"/>
      <c r="F748" s="2">
        <f>D748*Katelaskelma!$D$41</f>
        <v>9150.035159681167</v>
      </c>
      <c r="G748" s="5">
        <f>D748*Lähtötiedot!$C$11+Katelaskelma!$F$31-Katelaskelma!$F$46</f>
        <v>67706.49429865554</v>
      </c>
      <c r="H748" s="1"/>
    </row>
    <row r="749" spans="1:8" x14ac:dyDescent="0.25">
      <c r="A749" s="5"/>
      <c r="C749" s="2">
        <v>748</v>
      </c>
      <c r="D749" s="5">
        <v>591.07820093561372</v>
      </c>
      <c r="E749" s="5"/>
      <c r="F749" s="2">
        <f>D749*Katelaskelma!$D$41</f>
        <v>7056.2531939777436</v>
      </c>
      <c r="G749" s="5">
        <f>D749*Lähtötiedot!$C$11+Katelaskelma!$F$31-Katelaskelma!$F$46</f>
        <v>42801.262617572676</v>
      </c>
      <c r="H749" s="1"/>
    </row>
    <row r="750" spans="1:8" x14ac:dyDescent="0.25">
      <c r="A750" s="5"/>
      <c r="C750" s="2">
        <v>749</v>
      </c>
      <c r="D750" s="5">
        <v>836.0415473080086</v>
      </c>
      <c r="E750" s="5"/>
      <c r="F750" s="2">
        <f>D750*Katelaskelma!$D$41</f>
        <v>9980.6097216108374</v>
      </c>
      <c r="G750" s="5">
        <f>D750*Lähtötiedot!$C$11+Katelaskelma!$F$31-Katelaskelma!$F$46</f>
        <v>77586.057802452764</v>
      </c>
      <c r="H750" s="1"/>
    </row>
    <row r="751" spans="1:8" x14ac:dyDescent="0.25">
      <c r="A751" s="5"/>
      <c r="C751" s="2">
        <v>750</v>
      </c>
      <c r="D751" s="5">
        <v>611.10543971539005</v>
      </c>
      <c r="E751" s="5"/>
      <c r="F751" s="2">
        <f>D751*Katelaskelma!$D$41</f>
        <v>7295.337070498078</v>
      </c>
      <c r="G751" s="5">
        <f>D751*Lähtötiedot!$C$11+Katelaskelma!$F$31-Katelaskelma!$F$46</f>
        <v>45645.130524300912</v>
      </c>
      <c r="H751" s="1"/>
    </row>
    <row r="752" spans="1:8" x14ac:dyDescent="0.25">
      <c r="A752" s="5"/>
      <c r="C752" s="2">
        <v>751</v>
      </c>
      <c r="D752" s="5">
        <v>1092.4683289048787</v>
      </c>
      <c r="E752" s="5"/>
      <c r="F752" s="2">
        <f>D752*Katelaskelma!$D$41</f>
        <v>13041.81599482518</v>
      </c>
      <c r="G752" s="5">
        <f>D752*Lähtötiedot!$C$11+Katelaskelma!$F$31-Katelaskelma!$F$46</f>
        <v>113998.66078920831</v>
      </c>
      <c r="H752" s="1"/>
    </row>
    <row r="753" spans="1:8" x14ac:dyDescent="0.25">
      <c r="A753" s="5"/>
      <c r="C753" s="2">
        <v>752</v>
      </c>
      <c r="D753" s="5">
        <v>937.99454674811091</v>
      </c>
      <c r="E753" s="5"/>
      <c r="F753" s="2">
        <f>D753*Katelaskelma!$D$41</f>
        <v>11197.718010828898</v>
      </c>
      <c r="G753" s="5">
        <f>D753*Lähtötiedot!$C$11+Katelaskelma!$F$31-Katelaskelma!$F$46</f>
        <v>92063.383722947299</v>
      </c>
      <c r="H753" s="1"/>
    </row>
    <row r="754" spans="1:8" x14ac:dyDescent="0.25">
      <c r="A754" s="5"/>
      <c r="C754" s="2">
        <v>753</v>
      </c>
      <c r="D754" s="5">
        <v>435.68783162767687</v>
      </c>
      <c r="E754" s="5"/>
      <c r="F754" s="2">
        <f>D754*Katelaskelma!$D$41</f>
        <v>5201.2130520694318</v>
      </c>
      <c r="G754" s="5">
        <f>D754*Lähtötiedot!$C$11+Katelaskelma!$F$31-Katelaskelma!$F$46</f>
        <v>20735.830175845651</v>
      </c>
      <c r="H754" s="1"/>
    </row>
    <row r="755" spans="1:8" x14ac:dyDescent="0.25">
      <c r="A755" s="5"/>
      <c r="C755" s="2">
        <v>754</v>
      </c>
      <c r="D755" s="5">
        <v>929.21185819692369</v>
      </c>
      <c r="E755" s="5"/>
      <c r="F755" s="2">
        <f>D755*Katelaskelma!$D$41</f>
        <v>11092.870845017453</v>
      </c>
      <c r="G755" s="5">
        <f>D755*Lähtötiedot!$C$11+Katelaskelma!$F$31-Katelaskelma!$F$46</f>
        <v>90816.241948678711</v>
      </c>
      <c r="H755" s="1"/>
    </row>
    <row r="756" spans="1:8" x14ac:dyDescent="0.25">
      <c r="A756" s="5"/>
      <c r="C756" s="2">
        <v>755</v>
      </c>
      <c r="D756" s="5">
        <v>681.74791522031205</v>
      </c>
      <c r="E756" s="5"/>
      <c r="F756" s="2">
        <f>D756*Katelaskelma!$D$41</f>
        <v>8138.6623574450059</v>
      </c>
      <c r="G756" s="5">
        <f>D756*Lähtötiedot!$C$11+Katelaskelma!$F$31-Katelaskelma!$F$46</f>
        <v>55676.362045999849</v>
      </c>
      <c r="H756" s="1"/>
    </row>
    <row r="757" spans="1:8" x14ac:dyDescent="0.25">
      <c r="A757" s="5"/>
      <c r="C757" s="2">
        <v>756</v>
      </c>
      <c r="D757" s="5">
        <v>465.24155697369889</v>
      </c>
      <c r="E757" s="5"/>
      <c r="F757" s="2">
        <f>D757*Katelaskelma!$D$41</f>
        <v>5554.0235068226511</v>
      </c>
      <c r="G757" s="5">
        <f>D757*Lähtötiedot!$C$11+Katelaskelma!$F$31-Katelaskelma!$F$46</f>
        <v>24932.459174980788</v>
      </c>
      <c r="H757" s="1"/>
    </row>
    <row r="758" spans="1:8" x14ac:dyDescent="0.25">
      <c r="A758" s="5"/>
      <c r="C758" s="2">
        <v>757</v>
      </c>
      <c r="D758" s="5">
        <v>475.12496456893933</v>
      </c>
      <c r="E758" s="5"/>
      <c r="F758" s="2">
        <f>D758*Katelaskelma!$D$41</f>
        <v>5672.0109851307816</v>
      </c>
      <c r="G758" s="5">
        <f>D758*Lähtötiedot!$C$11+Katelaskelma!$F$31-Katelaskelma!$F$46</f>
        <v>26335.90305350491</v>
      </c>
      <c r="H758" s="1"/>
    </row>
    <row r="759" spans="1:8" x14ac:dyDescent="0.25">
      <c r="A759" s="5"/>
      <c r="C759" s="2">
        <v>758</v>
      </c>
      <c r="D759" s="5">
        <v>682.49697932441427</v>
      </c>
      <c r="E759" s="5"/>
      <c r="F759" s="2">
        <f>D759*Katelaskelma!$D$41</f>
        <v>8147.6046360956125</v>
      </c>
      <c r="G759" s="5">
        <f>D759*Lähtötiedot!$C$11+Katelaskelma!$F$31-Katelaskelma!$F$46</f>
        <v>55782.729148782353</v>
      </c>
      <c r="H759" s="1"/>
    </row>
    <row r="760" spans="1:8" x14ac:dyDescent="0.25">
      <c r="A760" s="5"/>
      <c r="C760" s="2">
        <v>759</v>
      </c>
      <c r="D760" s="5">
        <v>822.3046607737308</v>
      </c>
      <c r="E760" s="5"/>
      <c r="F760" s="2">
        <f>D760*Katelaskelma!$D$41</f>
        <v>9816.6196618702215</v>
      </c>
      <c r="G760" s="5">
        <f>D760*Lähtötiedot!$C$11+Katelaskelma!$F$31-Katelaskelma!$F$46</f>
        <v>75635.419914585305</v>
      </c>
      <c r="H760" s="1"/>
    </row>
    <row r="761" spans="1:8" x14ac:dyDescent="0.25">
      <c r="A761" s="5"/>
      <c r="C761" s="2">
        <v>760</v>
      </c>
      <c r="D761" s="5">
        <v>869.68028196033606</v>
      </c>
      <c r="E761" s="5"/>
      <c r="F761" s="2">
        <f>D761*Katelaskelma!$D$41</f>
        <v>10382.186752291607</v>
      </c>
      <c r="G761" s="5">
        <f>D761*Lähtötiedot!$C$11+Katelaskelma!$F$31-Katelaskelma!$F$46</f>
        <v>82362.758123083244</v>
      </c>
      <c r="H761" s="1"/>
    </row>
    <row r="762" spans="1:8" x14ac:dyDescent="0.25">
      <c r="A762" s="5"/>
      <c r="C762" s="2">
        <v>761</v>
      </c>
      <c r="D762" s="5">
        <v>997.21161395270087</v>
      </c>
      <c r="E762" s="5"/>
      <c r="F762" s="2">
        <f>D762*Katelaskelma!$D$41</f>
        <v>11904.647515146547</v>
      </c>
      <c r="G762" s="5">
        <f>D762*Lähtötiedot!$C$11+Katelaskelma!$F$31-Katelaskelma!$F$46</f>
        <v>100472.20726599905</v>
      </c>
      <c r="H762" s="1"/>
    </row>
    <row r="763" spans="1:8" x14ac:dyDescent="0.25">
      <c r="A763" s="5"/>
      <c r="C763" s="2">
        <v>762</v>
      </c>
      <c r="D763" s="5">
        <v>552.98509699326564</v>
      </c>
      <c r="E763" s="5"/>
      <c r="F763" s="2">
        <f>D763*Katelaskelma!$D$41</f>
        <v>6601.5001918601783</v>
      </c>
      <c r="G763" s="5">
        <f>D763*Lähtötiedot!$C$11+Katelaskelma!$F$31-Katelaskelma!$F$46</f>
        <v>37392.041857759265</v>
      </c>
      <c r="H763" s="1"/>
    </row>
    <row r="764" spans="1:8" x14ac:dyDescent="0.25">
      <c r="A764" s="5"/>
      <c r="C764" s="2">
        <v>763</v>
      </c>
      <c r="D764" s="5">
        <v>887.56626010893228</v>
      </c>
      <c r="E764" s="5"/>
      <c r="F764" s="2">
        <f>D764*Katelaskelma!$D$41</f>
        <v>10595.708398393044</v>
      </c>
      <c r="G764" s="5">
        <f>D764*Lähtötiedot!$C$11+Katelaskelma!$F$31-Katelaskelma!$F$46</f>
        <v>84902.567020183924</v>
      </c>
      <c r="H764" s="1"/>
    </row>
    <row r="765" spans="1:8" x14ac:dyDescent="0.25">
      <c r="A765" s="5"/>
      <c r="C765" s="2">
        <v>764</v>
      </c>
      <c r="D765" s="5">
        <v>1321.1595186178458</v>
      </c>
      <c r="E765" s="5"/>
      <c r="F765" s="2">
        <f>D765*Katelaskelma!$D$41</f>
        <v>15771.916572536174</v>
      </c>
      <c r="G765" s="5">
        <f>D765*Lähtötiedot!$C$11+Katelaskelma!$F$31-Katelaskelma!$F$46</f>
        <v>146472.80972844965</v>
      </c>
      <c r="H765" s="1"/>
    </row>
    <row r="766" spans="1:8" x14ac:dyDescent="0.25">
      <c r="A766" s="5"/>
      <c r="C766" s="2">
        <v>765</v>
      </c>
      <c r="D766" s="5">
        <v>474.85077443440224</v>
      </c>
      <c r="E766" s="5"/>
      <c r="F766" s="2">
        <f>D766*Katelaskelma!$D$41</f>
        <v>5668.7377211032435</v>
      </c>
      <c r="G766" s="5">
        <f>D766*Lähtötiedot!$C$11+Katelaskelma!$F$31-Katelaskelma!$F$46</f>
        <v>26296.968054400641</v>
      </c>
      <c r="H766" s="1"/>
    </row>
    <row r="767" spans="1:8" x14ac:dyDescent="0.25">
      <c r="A767" s="5"/>
      <c r="C767" s="2">
        <v>766</v>
      </c>
      <c r="D767" s="5">
        <v>483.0161249014871</v>
      </c>
      <c r="E767" s="5"/>
      <c r="F767" s="2">
        <f>D767*Katelaskelma!$D$41</f>
        <v>5766.215144940079</v>
      </c>
      <c r="G767" s="5">
        <f>D767*Lähtötiedot!$C$11+Katelaskelma!$F$31-Katelaskelma!$F$46</f>
        <v>27456.447820726695</v>
      </c>
      <c r="H767" s="1"/>
    </row>
    <row r="768" spans="1:8" x14ac:dyDescent="0.25">
      <c r="A768" s="5"/>
      <c r="C768" s="2">
        <v>767</v>
      </c>
      <c r="D768" s="5">
        <v>282.81620843444972</v>
      </c>
      <c r="E768" s="5"/>
      <c r="F768" s="2">
        <f>D768*Katelaskelma!$D$41</f>
        <v>3376.2415377785937</v>
      </c>
      <c r="G768" s="5">
        <f>D768*Lähtötiedot!$C$11+Katelaskelma!$F$31-Katelaskelma!$F$46</f>
        <v>-971.9403175926127</v>
      </c>
      <c r="H768" s="1"/>
    </row>
    <row r="769" spans="1:8" x14ac:dyDescent="0.25">
      <c r="A769" s="5"/>
      <c r="C769" s="2">
        <v>768</v>
      </c>
      <c r="D769" s="5">
        <v>1051.522026048093</v>
      </c>
      <c r="E769" s="5"/>
      <c r="F769" s="2">
        <f>D769*Katelaskelma!$D$41</f>
        <v>12553.001689277398</v>
      </c>
      <c r="G769" s="5">
        <f>D769*Lähtötiedot!$C$11+Katelaskelma!$F$31-Katelaskelma!$F$46</f>
        <v>108184.28578354476</v>
      </c>
      <c r="H769" s="1"/>
    </row>
    <row r="770" spans="1:8" x14ac:dyDescent="0.25">
      <c r="A770" s="5"/>
      <c r="C770" s="2">
        <v>769</v>
      </c>
      <c r="D770" s="5">
        <v>844.07990373746702</v>
      </c>
      <c r="E770" s="5"/>
      <c r="F770" s="2">
        <f>D770*Katelaskelma!$D$41</f>
        <v>10076.571098870081</v>
      </c>
      <c r="G770" s="5">
        <f>D770*Lähtötiedot!$C$11+Katelaskelma!$F$31-Katelaskelma!$F$46</f>
        <v>78727.504415435862</v>
      </c>
      <c r="H770" s="1"/>
    </row>
    <row r="771" spans="1:8" x14ac:dyDescent="0.25">
      <c r="A771" s="5"/>
      <c r="C771" s="2">
        <v>770</v>
      </c>
      <c r="D771" s="5">
        <v>879.60351664986797</v>
      </c>
      <c r="E771" s="5"/>
      <c r="F771" s="2">
        <f>D771*Katelaskelma!$D$41</f>
        <v>10500.649683866084</v>
      </c>
      <c r="G771" s="5">
        <f>D771*Lähtötiedot!$C$11+Katelaskelma!$F$31-Katelaskelma!$F$46</f>
        <v>83771.857448996772</v>
      </c>
      <c r="H771" s="1"/>
    </row>
    <row r="772" spans="1:8" x14ac:dyDescent="0.25">
      <c r="A772" s="5"/>
      <c r="C772" s="2">
        <v>771</v>
      </c>
      <c r="D772" s="5">
        <v>948.28366192907538</v>
      </c>
      <c r="E772" s="5"/>
      <c r="F772" s="2">
        <f>D772*Katelaskelma!$D$41</f>
        <v>11320.548799959613</v>
      </c>
      <c r="G772" s="5">
        <f>D772*Lähtötiedot!$C$11+Katelaskelma!$F$31-Katelaskelma!$F$46</f>
        <v>93524.438078644249</v>
      </c>
      <c r="H772" s="1"/>
    </row>
    <row r="773" spans="1:8" x14ac:dyDescent="0.25">
      <c r="A773" s="5"/>
      <c r="C773" s="2">
        <v>772</v>
      </c>
      <c r="D773" s="5">
        <v>900.39428792489457</v>
      </c>
      <c r="E773" s="5"/>
      <c r="F773" s="2">
        <f>D773*Katelaskelma!$D$41</f>
        <v>10748.848561751362</v>
      </c>
      <c r="G773" s="5">
        <f>D773*Lähtötiedot!$C$11+Katelaskelma!$F$31-Katelaskelma!$F$46</f>
        <v>86724.146970050555</v>
      </c>
      <c r="H773" s="1"/>
    </row>
    <row r="774" spans="1:8" x14ac:dyDescent="0.25">
      <c r="A774" s="5"/>
      <c r="C774" s="2">
        <v>773</v>
      </c>
      <c r="D774" s="5">
        <v>782.56782635025706</v>
      </c>
      <c r="E774" s="5"/>
      <c r="F774" s="2">
        <f>D774*Katelaskelma!$D$41</f>
        <v>9342.2439119688224</v>
      </c>
      <c r="G774" s="5">
        <f>D774*Lähtötiedot!$C$11+Katelaskelma!$F$31-Katelaskelma!$F$46</f>
        <v>69992.789426452044</v>
      </c>
      <c r="H774" s="1"/>
    </row>
    <row r="775" spans="1:8" x14ac:dyDescent="0.25">
      <c r="A775" s="5"/>
      <c r="C775" s="2">
        <v>774</v>
      </c>
      <c r="D775" s="5">
        <v>1170.9065021994058</v>
      </c>
      <c r="E775" s="5"/>
      <c r="F775" s="2">
        <f>D775*Katelaskelma!$D$41</f>
        <v>13978.205815940537</v>
      </c>
      <c r="G775" s="5">
        <f>D775*Lähtötiedot!$C$11+Katelaskelma!$F$31-Katelaskelma!$F$46</f>
        <v>125136.88139703116</v>
      </c>
      <c r="H775" s="1"/>
    </row>
    <row r="776" spans="1:8" x14ac:dyDescent="0.25">
      <c r="A776" s="5"/>
      <c r="C776" s="2">
        <v>775</v>
      </c>
      <c r="D776" s="5">
        <v>550.07227726325823</v>
      </c>
      <c r="E776" s="5"/>
      <c r="F776" s="2">
        <f>D776*Katelaskelma!$D$41</f>
        <v>6566.7271390038695</v>
      </c>
      <c r="G776" s="5">
        <f>D776*Lähtötiedot!$C$11+Katelaskelma!$F$31-Katelaskelma!$F$46</f>
        <v>36978.421456098207</v>
      </c>
      <c r="H776" s="1"/>
    </row>
    <row r="777" spans="1:8" x14ac:dyDescent="0.25">
      <c r="A777" s="5"/>
      <c r="C777" s="2">
        <v>776</v>
      </c>
      <c r="D777" s="5">
        <v>1028.4789040734574</v>
      </c>
      <c r="E777" s="5"/>
      <c r="F777" s="2">
        <f>D777*Katelaskelma!$D$41</f>
        <v>12277.914394947535</v>
      </c>
      <c r="G777" s="5">
        <f>D777*Lähtötiedot!$C$11+Katelaskelma!$F$31-Katelaskelma!$F$46</f>
        <v>104912.16246314649</v>
      </c>
      <c r="H777" s="1"/>
    </row>
    <row r="778" spans="1:8" x14ac:dyDescent="0.25">
      <c r="A778" s="5"/>
      <c r="C778" s="2">
        <v>777</v>
      </c>
      <c r="D778" s="5">
        <v>1295.6600447870849</v>
      </c>
      <c r="E778" s="5"/>
      <c r="F778" s="2">
        <f>D778*Katelaskelma!$D$41</f>
        <v>15467.505509197605</v>
      </c>
      <c r="G778" s="5">
        <f>D778*Lähtötiedot!$C$11+Katelaskelma!$F$31-Katelaskelma!$F$46</f>
        <v>142851.88444448161</v>
      </c>
      <c r="H778" s="1"/>
    </row>
    <row r="779" spans="1:8" x14ac:dyDescent="0.25">
      <c r="A779" s="5"/>
      <c r="C779" s="2">
        <v>778</v>
      </c>
      <c r="D779" s="5">
        <v>725.44915383863849</v>
      </c>
      <c r="E779" s="5"/>
      <c r="F779" s="2">
        <f>D779*Katelaskelma!$D$41</f>
        <v>8660.3649072822991</v>
      </c>
      <c r="G779" s="5">
        <f>D779*Lähtötiedot!$C$11+Katelaskelma!$F$31-Katelaskelma!$F$46</f>
        <v>61881.937929802196</v>
      </c>
      <c r="H779" s="1"/>
    </row>
    <row r="780" spans="1:8" x14ac:dyDescent="0.25">
      <c r="A780" s="5"/>
      <c r="C780" s="2">
        <v>779</v>
      </c>
      <c r="D780" s="5">
        <v>557.15114126925914</v>
      </c>
      <c r="E780" s="5"/>
      <c r="F780" s="2">
        <f>D780*Katelaskelma!$D$41</f>
        <v>6651.2341579956237</v>
      </c>
      <c r="G780" s="5">
        <f>D780*Lähtötiedot!$C$11+Katelaskelma!$F$31-Katelaskelma!$F$46</f>
        <v>37983.620144950342</v>
      </c>
      <c r="H780" s="1"/>
    </row>
    <row r="781" spans="1:8" x14ac:dyDescent="0.25">
      <c r="A781" s="5"/>
      <c r="C781" s="2">
        <v>780</v>
      </c>
      <c r="D781" s="5">
        <v>691.72444195546154</v>
      </c>
      <c r="E781" s="5"/>
      <c r="F781" s="2">
        <f>D781*Katelaskelma!$D$41</f>
        <v>8257.761486000707</v>
      </c>
      <c r="G781" s="5">
        <f>D781*Lähtötiedot!$C$11+Katelaskelma!$F$31-Katelaskelma!$F$46</f>
        <v>57093.028842391068</v>
      </c>
      <c r="H781" s="1"/>
    </row>
    <row r="782" spans="1:8" x14ac:dyDescent="0.25">
      <c r="A782" s="5"/>
      <c r="C782" s="2">
        <v>781</v>
      </c>
      <c r="D782" s="5">
        <v>904.50738277567166</v>
      </c>
      <c r="E782" s="5"/>
      <c r="F782" s="2">
        <f>D782*Katelaskelma!$D$41</f>
        <v>10797.95042108569</v>
      </c>
      <c r="G782" s="5">
        <f>D782*Lähtötiedot!$C$11+Katelaskelma!$F$31-Katelaskelma!$F$46</f>
        <v>87308.206438860914</v>
      </c>
      <c r="H782" s="1"/>
    </row>
    <row r="783" spans="1:8" x14ac:dyDescent="0.25">
      <c r="A783" s="5"/>
      <c r="C783" s="2">
        <v>782</v>
      </c>
      <c r="D783" s="5">
        <v>529.37711295361191</v>
      </c>
      <c r="E783" s="5"/>
      <c r="F783" s="2">
        <f>D783*Katelaskelma!$D$41</f>
        <v>6319.6696108651468</v>
      </c>
      <c r="G783" s="5">
        <f>D783*Lähtötiedot!$C$11+Katelaskelma!$F$31-Katelaskelma!$F$46</f>
        <v>34039.708124128432</v>
      </c>
      <c r="H783" s="1"/>
    </row>
    <row r="784" spans="1:8" x14ac:dyDescent="0.25">
      <c r="A784" s="5"/>
      <c r="C784" s="2">
        <v>783</v>
      </c>
      <c r="D784" s="5">
        <v>673.66436026075712</v>
      </c>
      <c r="E784" s="5"/>
      <c r="F784" s="2">
        <f>D784*Katelaskelma!$D$41</f>
        <v>8042.1614030674518</v>
      </c>
      <c r="G784" s="5">
        <f>D784*Lähtötiedot!$C$11+Katelaskelma!$F$31-Katelaskelma!$F$46</f>
        <v>54528.497241743054</v>
      </c>
      <c r="H784" s="1"/>
    </row>
    <row r="785" spans="1:8" x14ac:dyDescent="0.25">
      <c r="A785" s="5"/>
      <c r="C785" s="2">
        <v>784</v>
      </c>
      <c r="D785" s="5">
        <v>1190.338762778196</v>
      </c>
      <c r="E785" s="5"/>
      <c r="F785" s="2">
        <f>D785*Katelaskelma!$D$41</f>
        <v>14210.186881319452</v>
      </c>
      <c r="G785" s="5">
        <f>D785*Lähtötiedot!$C$11+Katelaskelma!$F$31-Katelaskelma!$F$46</f>
        <v>127896.26239921938</v>
      </c>
      <c r="H785" s="1"/>
    </row>
    <row r="786" spans="1:8" x14ac:dyDescent="0.25">
      <c r="A786" s="5"/>
      <c r="C786" s="2">
        <v>785</v>
      </c>
      <c r="D786" s="5">
        <v>598.0308539164987</v>
      </c>
      <c r="E786" s="5"/>
      <c r="F786" s="2">
        <f>D786*Katelaskelma!$D$41</f>
        <v>7139.253513944429</v>
      </c>
      <c r="G786" s="5">
        <f>D786*Lähtötiedot!$C$11+Katelaskelma!$F$31-Katelaskelma!$F$46</f>
        <v>43788.539340858348</v>
      </c>
      <c r="H786" s="1"/>
    </row>
    <row r="787" spans="1:8" x14ac:dyDescent="0.25">
      <c r="A787" s="5"/>
      <c r="C787" s="2">
        <v>786</v>
      </c>
      <c r="D787" s="5">
        <v>711.99214973796074</v>
      </c>
      <c r="E787" s="5"/>
      <c r="F787" s="2">
        <f>D787*Katelaskelma!$D$41</f>
        <v>8499.7160658659286</v>
      </c>
      <c r="G787" s="5">
        <f>D787*Lähtötiedot!$C$11+Katelaskelma!$F$31-Katelaskelma!$F$46</f>
        <v>59971.043347505969</v>
      </c>
      <c r="H787" s="1"/>
    </row>
    <row r="788" spans="1:8" x14ac:dyDescent="0.25">
      <c r="A788" s="5"/>
      <c r="C788" s="2">
        <v>787</v>
      </c>
      <c r="D788" s="5">
        <v>378.23841721567152</v>
      </c>
      <c r="E788" s="5"/>
      <c r="F788" s="2">
        <f>D788*Katelaskelma!$D$41</f>
        <v>4515.3856720456133</v>
      </c>
      <c r="G788" s="5">
        <f>D788*Lähtötiedot!$C$11+Katelaskelma!$F$31-Katelaskelma!$F$46</f>
        <v>12578.013329340887</v>
      </c>
      <c r="H788" s="1"/>
    </row>
    <row r="789" spans="1:8" x14ac:dyDescent="0.25">
      <c r="A789" s="5"/>
      <c r="C789" s="2">
        <v>788</v>
      </c>
      <c r="D789" s="5">
        <v>1158.8225452275922</v>
      </c>
      <c r="E789" s="5"/>
      <c r="F789" s="2">
        <f>D789*Katelaskelma!$D$41</f>
        <v>13833.948322019631</v>
      </c>
      <c r="G789" s="5">
        <f>D789*Lähtötiedot!$C$11+Katelaskelma!$F$31-Katelaskelma!$F$46</f>
        <v>123420.95950703364</v>
      </c>
      <c r="H789" s="1"/>
    </row>
    <row r="790" spans="1:8" x14ac:dyDescent="0.25">
      <c r="A790" s="5"/>
      <c r="C790" s="2">
        <v>789</v>
      </c>
      <c r="D790" s="5">
        <v>463.9491620386537</v>
      </c>
      <c r="E790" s="5"/>
      <c r="F790" s="2">
        <f>D790*Katelaskelma!$D$41</f>
        <v>5538.5949799816035</v>
      </c>
      <c r="G790" s="5">
        <f>D790*Lähtötiedot!$C$11+Katelaskelma!$F$31-Katelaskelma!$F$46</f>
        <v>24748.939094204368</v>
      </c>
      <c r="H790" s="1"/>
    </row>
    <row r="791" spans="1:8" x14ac:dyDescent="0.25">
      <c r="A791" s="5"/>
      <c r="C791" s="2">
        <v>790</v>
      </c>
      <c r="D791" s="5">
        <v>723.63522356332282</v>
      </c>
      <c r="E791" s="5"/>
      <c r="F791" s="2">
        <f>D791*Katelaskelma!$D$41</f>
        <v>8638.7103254036429</v>
      </c>
      <c r="G791" s="5">
        <f>D791*Lähtötiedot!$C$11+Katelaskelma!$F$31-Katelaskelma!$F$46</f>
        <v>61624.35983070737</v>
      </c>
      <c r="H791" s="1"/>
    </row>
    <row r="792" spans="1:8" x14ac:dyDescent="0.25">
      <c r="A792" s="5"/>
      <c r="C792" s="2">
        <v>791</v>
      </c>
      <c r="D792" s="5">
        <v>888.3618691455074</v>
      </c>
      <c r="E792" s="5"/>
      <c r="F792" s="2">
        <f>D792*Katelaskelma!$D$41</f>
        <v>10605.206327426131</v>
      </c>
      <c r="G792" s="5">
        <f>D792*Lähtötiedot!$C$11+Katelaskelma!$F$31-Katelaskelma!$F$46</f>
        <v>85015.543503377587</v>
      </c>
      <c r="H792" s="1"/>
    </row>
    <row r="793" spans="1:8" x14ac:dyDescent="0.25">
      <c r="A793" s="5"/>
      <c r="C793" s="2">
        <v>792</v>
      </c>
      <c r="D793" s="5">
        <v>870.18128209676593</v>
      </c>
      <c r="E793" s="5"/>
      <c r="F793" s="2">
        <f>D793*Katelaskelma!$D$41</f>
        <v>10388.167659398774</v>
      </c>
      <c r="G793" s="5">
        <f>D793*Lähtötiedot!$C$11+Katelaskelma!$F$31-Katelaskelma!$F$46</f>
        <v>82433.900142456288</v>
      </c>
      <c r="H793" s="1"/>
    </row>
    <row r="794" spans="1:8" x14ac:dyDescent="0.25">
      <c r="A794" s="5"/>
      <c r="C794" s="2">
        <v>793</v>
      </c>
      <c r="D794" s="5">
        <v>837.95966278040601</v>
      </c>
      <c r="E794" s="5"/>
      <c r="F794" s="2">
        <f>D794*Katelaskelma!$D$41</f>
        <v>10003.508059609259</v>
      </c>
      <c r="G794" s="5">
        <f>D794*Lähtötiedot!$C$11+Katelaskelma!$F$31-Katelaskelma!$F$46</f>
        <v>77858.430199533177</v>
      </c>
      <c r="H794" s="1"/>
    </row>
    <row r="795" spans="1:8" x14ac:dyDescent="0.25">
      <c r="A795" s="5"/>
      <c r="C795" s="2">
        <v>794</v>
      </c>
      <c r="D795" s="5">
        <v>543.0151219522229</v>
      </c>
      <c r="E795" s="5"/>
      <c r="F795" s="2">
        <f>D795*Katelaskelma!$D$41</f>
        <v>6482.4792770034319</v>
      </c>
      <c r="G795" s="5">
        <f>D795*Lähtötiedot!$C$11+Katelaskelma!$F$31-Katelaskelma!$F$46</f>
        <v>35976.305401931197</v>
      </c>
      <c r="H795" s="1"/>
    </row>
    <row r="796" spans="1:8" x14ac:dyDescent="0.25">
      <c r="A796" s="5"/>
      <c r="C796" s="2">
        <v>795</v>
      </c>
      <c r="D796" s="5">
        <v>1201.9840044760692</v>
      </c>
      <c r="E796" s="5"/>
      <c r="F796" s="2">
        <f>D796*Katelaskelma!$D$41</f>
        <v>14349.20702077848</v>
      </c>
      <c r="G796" s="5">
        <f>D796*Lähtötiedot!$C$11+Katelaskelma!$F$31-Katelaskelma!$F$46</f>
        <v>129549.88672031739</v>
      </c>
      <c r="H796" s="1"/>
    </row>
    <row r="797" spans="1:8" x14ac:dyDescent="0.25">
      <c r="A797" s="5"/>
      <c r="C797" s="2">
        <v>796</v>
      </c>
      <c r="D797" s="5">
        <v>677.79606569880229</v>
      </c>
      <c r="E797" s="5"/>
      <c r="F797" s="2">
        <f>D797*Katelaskelma!$D$41</f>
        <v>8091.4854343845154</v>
      </c>
      <c r="G797" s="5">
        <f>D797*Lähtötiedot!$C$11+Katelaskelma!$F$31-Katelaskelma!$F$46</f>
        <v>55115.199413945462</v>
      </c>
      <c r="H797" s="1"/>
    </row>
    <row r="798" spans="1:8" x14ac:dyDescent="0.25">
      <c r="A798" s="5"/>
      <c r="C798" s="2">
        <v>797</v>
      </c>
      <c r="D798" s="5">
        <v>992.17418914707036</v>
      </c>
      <c r="E798" s="5"/>
      <c r="F798" s="2">
        <f>D798*Katelaskelma!$D$41</f>
        <v>11844.511064812415</v>
      </c>
      <c r="G798" s="5">
        <f>D798*Lähtötiedot!$C$11+Katelaskelma!$F$31-Katelaskelma!$F$46</f>
        <v>99756.892943599523</v>
      </c>
      <c r="H798" s="1"/>
    </row>
    <row r="799" spans="1:8" x14ac:dyDescent="0.25">
      <c r="A799" s="5"/>
      <c r="C799" s="2">
        <v>798</v>
      </c>
      <c r="D799" s="5">
        <v>671.29866057134973</v>
      </c>
      <c r="E799" s="5"/>
      <c r="F799" s="2">
        <f>D799*Katelaskelma!$D$41</f>
        <v>8013.9198337405005</v>
      </c>
      <c r="G799" s="5">
        <f>D799*Lähtötiedot!$C$11+Katelaskelma!$F$31-Katelaskelma!$F$46</f>
        <v>54192.567885847209</v>
      </c>
      <c r="H799" s="1"/>
    </row>
    <row r="800" spans="1:8" x14ac:dyDescent="0.25">
      <c r="A800" s="5"/>
      <c r="C800" s="2">
        <v>799</v>
      </c>
      <c r="D800" s="5">
        <v>647.98164522557295</v>
      </c>
      <c r="E800" s="5"/>
      <c r="F800" s="2">
        <f>D800*Katelaskelma!$D$41</f>
        <v>7735.5628181252559</v>
      </c>
      <c r="G800" s="5">
        <f>D800*Lähtötiedot!$C$11+Katelaskelma!$F$31-Katelaskelma!$F$46</f>
        <v>50881.55170674689</v>
      </c>
      <c r="H800" s="1"/>
    </row>
    <row r="801" spans="1:8" x14ac:dyDescent="0.25">
      <c r="A801" s="5"/>
      <c r="C801" s="2">
        <v>800</v>
      </c>
      <c r="D801" s="5">
        <v>817.20219087928831</v>
      </c>
      <c r="E801" s="5"/>
      <c r="F801" s="2">
        <f>D801*Katelaskelma!$D$41</f>
        <v>9755.7067074881379</v>
      </c>
      <c r="G801" s="5">
        <f>D801*Lähtötiedot!$C$11+Katelaskelma!$F$31-Katelaskelma!$F$46</f>
        <v>74910.869189574471</v>
      </c>
      <c r="H801" s="1"/>
    </row>
    <row r="802" spans="1:8" x14ac:dyDescent="0.25">
      <c r="A802" s="5"/>
      <c r="C802" s="2">
        <v>801</v>
      </c>
      <c r="D802" s="5">
        <v>1368.7071032302499</v>
      </c>
      <c r="E802" s="5"/>
      <c r="F802" s="2">
        <f>D802*Katelaskelma!$D$41</f>
        <v>16339.536551172047</v>
      </c>
      <c r="G802" s="5">
        <f>D802*Lähtötiedot!$C$11+Katelaskelma!$F$31-Katelaskelma!$F$46</f>
        <v>153224.56674341104</v>
      </c>
      <c r="H802" s="1"/>
    </row>
    <row r="803" spans="1:8" x14ac:dyDescent="0.25">
      <c r="A803" s="5"/>
      <c r="C803" s="2">
        <v>802</v>
      </c>
      <c r="D803" s="5">
        <v>571.38310850928679</v>
      </c>
      <c r="E803" s="5"/>
      <c r="F803" s="2">
        <f>D803*Katelaskelma!$D$41</f>
        <v>6821.1344590641975</v>
      </c>
      <c r="G803" s="5">
        <f>D803*Lähtötiedot!$C$11+Katelaskelma!$F$31-Katelaskelma!$F$46</f>
        <v>40004.559493034263</v>
      </c>
      <c r="H803" s="1"/>
    </row>
    <row r="804" spans="1:8" x14ac:dyDescent="0.25">
      <c r="A804" s="5"/>
      <c r="C804" s="2">
        <v>803</v>
      </c>
      <c r="D804" s="5">
        <v>1008.3705356356952</v>
      </c>
      <c r="E804" s="5"/>
      <c r="F804" s="2">
        <f>D804*Katelaskelma!$D$41</f>
        <v>12037.861997836553</v>
      </c>
      <c r="G804" s="5">
        <f>D804*Lähtötiedot!$C$11+Katelaskelma!$F$31-Katelaskelma!$F$46</f>
        <v>102056.77414498426</v>
      </c>
      <c r="H804" s="1"/>
    </row>
    <row r="805" spans="1:8" x14ac:dyDescent="0.25">
      <c r="A805" s="5"/>
      <c r="C805" s="2">
        <v>804</v>
      </c>
      <c r="D805" s="5">
        <v>217.50534863158038</v>
      </c>
      <c r="E805" s="5"/>
      <c r="F805" s="2">
        <f>D805*Katelaskelma!$D$41</f>
        <v>2596.5647329904064</v>
      </c>
      <c r="G805" s="5">
        <f>D805*Lähtötiedot!$C$11+Katelaskelma!$F$31-Katelaskelma!$F$46</f>
        <v>-10246.082409600058</v>
      </c>
      <c r="H805" s="1"/>
    </row>
    <row r="806" spans="1:8" x14ac:dyDescent="0.25">
      <c r="A806" s="5"/>
      <c r="C806" s="2">
        <v>805</v>
      </c>
      <c r="D806" s="5">
        <v>1128.8593946237222</v>
      </c>
      <c r="E806" s="5"/>
      <c r="F806" s="2">
        <f>D806*Katelaskelma!$D$41</f>
        <v>13476.250175115336</v>
      </c>
      <c r="G806" s="5">
        <f>D806*Lähtötiedot!$C$11+Katelaskelma!$F$31-Katelaskelma!$F$46</f>
        <v>119166.19212128408</v>
      </c>
      <c r="H806" s="1"/>
    </row>
    <row r="807" spans="1:8" x14ac:dyDescent="0.25">
      <c r="A807" s="5"/>
      <c r="C807" s="2">
        <v>806</v>
      </c>
      <c r="D807" s="5">
        <v>218.16852498264399</v>
      </c>
      <c r="E807" s="5"/>
      <c r="F807" s="2">
        <f>D807*Katelaskelma!$D$41</f>
        <v>2604.481689220489</v>
      </c>
      <c r="G807" s="5">
        <f>D807*Lähtötiedot!$C$11+Katelaskelma!$F$31-Katelaskelma!$F$46</f>
        <v>-10151.911367749024</v>
      </c>
      <c r="H807" s="1"/>
    </row>
    <row r="808" spans="1:8" x14ac:dyDescent="0.25">
      <c r="A808" s="5"/>
      <c r="C808" s="2">
        <v>807</v>
      </c>
      <c r="D808" s="5">
        <v>1056.6296375684685</v>
      </c>
      <c r="E808" s="5"/>
      <c r="F808" s="2">
        <f>D808*Katelaskelma!$D$41</f>
        <v>12613.97602405611</v>
      </c>
      <c r="G808" s="5">
        <f>D808*Lähtötiedot!$C$11+Katelaskelma!$F$31-Katelaskelma!$F$46</f>
        <v>108909.56661943806</v>
      </c>
      <c r="H808" s="1"/>
    </row>
    <row r="809" spans="1:8" x14ac:dyDescent="0.25">
      <c r="A809" s="5"/>
      <c r="C809" s="2">
        <v>808</v>
      </c>
      <c r="D809" s="5">
        <v>903.38505741347058</v>
      </c>
      <c r="E809" s="5"/>
      <c r="F809" s="2">
        <f>D809*Katelaskelma!$D$41</f>
        <v>10784.552173765491</v>
      </c>
      <c r="G809" s="5">
        <f>D809*Lähtötiedot!$C$11+Katelaskelma!$F$31-Katelaskelma!$F$46</f>
        <v>87148.836237428361</v>
      </c>
      <c r="H809" s="1"/>
    </row>
    <row r="810" spans="1:8" x14ac:dyDescent="0.25">
      <c r="A810" s="5"/>
      <c r="C810" s="2">
        <v>809</v>
      </c>
      <c r="D810" s="5">
        <v>601.20630673940127</v>
      </c>
      <c r="E810" s="5"/>
      <c r="F810" s="2">
        <f>D810*Katelaskelma!$D$41</f>
        <v>7177.1618636153589</v>
      </c>
      <c r="G810" s="5">
        <f>D810*Lähtötiedot!$C$11+Katelaskelma!$F$31-Katelaskelma!$F$46</f>
        <v>44239.453641710512</v>
      </c>
      <c r="H810" s="1"/>
    </row>
    <row r="811" spans="1:8" x14ac:dyDescent="0.25">
      <c r="A811" s="5"/>
      <c r="C811" s="2">
        <v>810</v>
      </c>
      <c r="D811" s="5">
        <v>1044.9458938542259</v>
      </c>
      <c r="E811" s="5"/>
      <c r="F811" s="2">
        <f>D811*Katelaskelma!$D$41</f>
        <v>12474.496250024955</v>
      </c>
      <c r="G811" s="5">
        <f>D811*Lähtötiedot!$C$11+Katelaskelma!$F$31-Katelaskelma!$F$46</f>
        <v>107250.47501201561</v>
      </c>
      <c r="H811" s="1"/>
    </row>
    <row r="812" spans="1:8" x14ac:dyDescent="0.25">
      <c r="A812" s="5"/>
      <c r="C812" s="2">
        <v>811</v>
      </c>
      <c r="D812" s="5">
        <v>863.1164648584047</v>
      </c>
      <c r="E812" s="5"/>
      <c r="F812" s="2">
        <f>D812*Katelaskelma!$D$41</f>
        <v>10303.82832980728</v>
      </c>
      <c r="G812" s="5">
        <f>D812*Lähtötiedot!$C$11+Katelaskelma!$F$31-Katelaskelma!$F$46</f>
        <v>81430.696094609011</v>
      </c>
      <c r="H812" s="1"/>
    </row>
    <row r="813" spans="1:8" x14ac:dyDescent="0.25">
      <c r="A813" s="5"/>
      <c r="C813" s="2">
        <v>812</v>
      </c>
      <c r="D813" s="5">
        <v>1106.9175074983143</v>
      </c>
      <c r="E813" s="5"/>
      <c r="F813" s="2">
        <f>D813*Katelaskelma!$D$41</f>
        <v>13214.309350930847</v>
      </c>
      <c r="G813" s="5">
        <f>D813*Lähtötiedot!$C$11+Katelaskelma!$F$31-Katelaskelma!$F$46</f>
        <v>116050.44414947618</v>
      </c>
      <c r="H813" s="1"/>
    </row>
    <row r="814" spans="1:8" x14ac:dyDescent="0.25">
      <c r="A814" s="5"/>
      <c r="C814" s="2">
        <v>813</v>
      </c>
      <c r="D814" s="5">
        <v>499.25255080884955</v>
      </c>
      <c r="E814" s="5"/>
      <c r="F814" s="2">
        <f>D814*Katelaskelma!$D$41</f>
        <v>5960.0445434634212</v>
      </c>
      <c r="G814" s="5">
        <f>D814*Lähtötiedot!$C$11+Katelaskelma!$F$31-Katelaskelma!$F$46</f>
        <v>29762.020299572177</v>
      </c>
      <c r="H814" s="1"/>
    </row>
    <row r="815" spans="1:8" x14ac:dyDescent="0.25">
      <c r="A815" s="5"/>
      <c r="C815" s="2">
        <v>814</v>
      </c>
      <c r="D815" s="5">
        <v>649.1209916054238</v>
      </c>
      <c r="E815" s="5"/>
      <c r="F815" s="2">
        <f>D815*Katelaskelma!$D$41</f>
        <v>7749.1642612492687</v>
      </c>
      <c r="G815" s="5">
        <f>D815*Lähtötiedot!$C$11+Katelaskelma!$F$31-Katelaskelma!$F$46</f>
        <v>51043.338892685715</v>
      </c>
      <c r="H815" s="1"/>
    </row>
    <row r="816" spans="1:8" x14ac:dyDescent="0.25">
      <c r="A816" s="5"/>
      <c r="C816" s="2">
        <v>815</v>
      </c>
      <c r="D816" s="5">
        <v>978.79322981063547</v>
      </c>
      <c r="E816" s="5"/>
      <c r="F816" s="2">
        <f>D816*Katelaskelma!$D$41</f>
        <v>11684.770040855266</v>
      </c>
      <c r="G816" s="5">
        <f>D816*Lähtötiedot!$C$11+Katelaskelma!$F$31-Katelaskelma!$F$46</f>
        <v>97856.796717825782</v>
      </c>
      <c r="H816" s="1"/>
    </row>
    <row r="817" spans="1:8" x14ac:dyDescent="0.25">
      <c r="A817" s="5"/>
      <c r="C817" s="2">
        <v>816</v>
      </c>
      <c r="D817" s="5">
        <v>438.61494369213216</v>
      </c>
      <c r="E817" s="5"/>
      <c r="F817" s="2">
        <f>D817*Katelaskelma!$D$41</f>
        <v>5236.156725886618</v>
      </c>
      <c r="G817" s="5">
        <f>D817*Lähtötiedot!$C$11+Katelaskelma!$F$31-Katelaskelma!$F$46</f>
        <v>21151.480088998302</v>
      </c>
      <c r="H817" s="1"/>
    </row>
    <row r="818" spans="1:8" x14ac:dyDescent="0.25">
      <c r="A818" s="5"/>
      <c r="C818" s="2">
        <v>817</v>
      </c>
      <c r="D818" s="5">
        <v>998.6085533078774</v>
      </c>
      <c r="E818" s="5"/>
      <c r="F818" s="2">
        <f>D818*Katelaskelma!$D$41</f>
        <v>11921.324086488808</v>
      </c>
      <c r="G818" s="5">
        <f>D818*Lähtötiedot!$C$11+Katelaskelma!$F$31-Katelaskelma!$F$46</f>
        <v>100670.57265443413</v>
      </c>
      <c r="H818" s="1"/>
    </row>
    <row r="819" spans="1:8" x14ac:dyDescent="0.25">
      <c r="A819" s="5"/>
      <c r="C819" s="2">
        <v>818</v>
      </c>
      <c r="D819" s="5">
        <v>1107.5062188361974</v>
      </c>
      <c r="E819" s="5"/>
      <c r="F819" s="2">
        <f>D819*Katelaskelma!$D$41</f>
        <v>13221.337348667344</v>
      </c>
      <c r="G819" s="5">
        <f>D819*Lähtötiedot!$C$11+Katelaskelma!$F$31-Katelaskelma!$F$46</f>
        <v>116134.04115945558</v>
      </c>
      <c r="H819" s="1"/>
    </row>
    <row r="820" spans="1:8" x14ac:dyDescent="0.25">
      <c r="A820" s="5"/>
      <c r="C820" s="2">
        <v>819</v>
      </c>
      <c r="D820" s="5">
        <v>349.43232770226251</v>
      </c>
      <c r="E820" s="5"/>
      <c r="F820" s="2">
        <f>D820*Katelaskelma!$D$41</f>
        <v>4171.5004453306756</v>
      </c>
      <c r="G820" s="5">
        <f>D820*Lähtötiedot!$C$11+Katelaskelma!$F$31-Katelaskelma!$F$46</f>
        <v>8487.5486184368201</v>
      </c>
      <c r="H820" s="1"/>
    </row>
    <row r="821" spans="1:8" x14ac:dyDescent="0.25">
      <c r="A821" s="5"/>
      <c r="C821" s="2">
        <v>820</v>
      </c>
      <c r="D821" s="5">
        <v>758.06549706283499</v>
      </c>
      <c r="E821" s="5"/>
      <c r="F821" s="2">
        <f>D821*Katelaskelma!$D$41</f>
        <v>9049.736695460766</v>
      </c>
      <c r="G821" s="5">
        <f>D821*Lähtötiedot!$C$11+Katelaskelma!$F$31-Katelaskelma!$F$46</f>
        <v>66513.4586676381</v>
      </c>
      <c r="H821" s="1"/>
    </row>
    <row r="822" spans="1:8" x14ac:dyDescent="0.25">
      <c r="A822" s="5"/>
      <c r="C822" s="2">
        <v>821</v>
      </c>
      <c r="D822" s="5">
        <v>354.79113812621364</v>
      </c>
      <c r="E822" s="5"/>
      <c r="F822" s="2">
        <f>D822*Katelaskelma!$D$41</f>
        <v>4235.4735763141434</v>
      </c>
      <c r="G822" s="5">
        <f>D822*Lähtötiedot!$C$11+Katelaskelma!$F$31-Katelaskelma!$F$46</f>
        <v>9248.4996986378683</v>
      </c>
      <c r="H822" s="1"/>
    </row>
    <row r="823" spans="1:8" x14ac:dyDescent="0.25">
      <c r="A823" s="5"/>
      <c r="C823" s="2">
        <v>822</v>
      </c>
      <c r="D823" s="5">
        <v>884.7903675076825</v>
      </c>
      <c r="E823" s="5"/>
      <c r="F823" s="2">
        <f>D823*Katelaskelma!$D$41</f>
        <v>10562.569972711462</v>
      </c>
      <c r="G823" s="5">
        <f>D823*Lähtötiedot!$C$11+Katelaskelma!$F$31-Katelaskelma!$F$46</f>
        <v>84508.390270806442</v>
      </c>
      <c r="H823" s="1"/>
    </row>
    <row r="824" spans="1:8" x14ac:dyDescent="0.25">
      <c r="A824" s="5"/>
      <c r="C824" s="2">
        <v>823</v>
      </c>
      <c r="D824" s="5">
        <v>587.07288823539261</v>
      </c>
      <c r="E824" s="5"/>
      <c r="F824" s="2">
        <f>D824*Katelaskelma!$D$41</f>
        <v>7008.4380309602639</v>
      </c>
      <c r="G824" s="5">
        <f>D824*Lähtötiedot!$C$11+Katelaskelma!$F$31-Katelaskelma!$F$46</f>
        <v>42232.508214141271</v>
      </c>
      <c r="H824" s="1"/>
    </row>
    <row r="825" spans="1:8" x14ac:dyDescent="0.25">
      <c r="A825" s="5"/>
      <c r="C825" s="2">
        <v>824</v>
      </c>
      <c r="D825" s="5">
        <v>801.59976564822341</v>
      </c>
      <c r="E825" s="5"/>
      <c r="F825" s="2">
        <f>D825*Katelaskelma!$D$41</f>
        <v>9569.4459678834064</v>
      </c>
      <c r="G825" s="5">
        <f>D825*Lähtötiedot!$C$11+Katelaskelma!$F$31-Katelaskelma!$F$46</f>
        <v>72695.324806763267</v>
      </c>
      <c r="H825" s="1"/>
    </row>
    <row r="826" spans="1:8" x14ac:dyDescent="0.25">
      <c r="A826" s="5"/>
      <c r="C826" s="2">
        <v>825</v>
      </c>
      <c r="D826" s="5">
        <v>790.66334946470602</v>
      </c>
      <c r="E826" s="5"/>
      <c r="F826" s="2">
        <f>D826*Katelaskelma!$D$41</f>
        <v>9438.8877414026101</v>
      </c>
      <c r="G826" s="5">
        <f>D826*Lähtötiedot!$C$11+Katelaskelma!$F$31-Katelaskelma!$F$46</f>
        <v>71142.353708703798</v>
      </c>
      <c r="H826" s="1"/>
    </row>
    <row r="827" spans="1:8" x14ac:dyDescent="0.25">
      <c r="A827" s="5"/>
      <c r="C827" s="2">
        <v>826</v>
      </c>
      <c r="D827" s="5">
        <v>1222.4843186129199</v>
      </c>
      <c r="E827" s="5"/>
      <c r="F827" s="2">
        <f>D827*Katelaskelma!$D$41</f>
        <v>14593.938440202721</v>
      </c>
      <c r="G827" s="5">
        <f>D827*Lähtötiedot!$C$11+Katelaskelma!$F$31-Katelaskelma!$F$46</f>
        <v>132460.93132775018</v>
      </c>
      <c r="H827" s="1"/>
    </row>
    <row r="828" spans="1:8" x14ac:dyDescent="0.25">
      <c r="A828" s="5"/>
      <c r="C828" s="2">
        <v>827</v>
      </c>
      <c r="D828" s="5">
        <v>693.92747484869346</v>
      </c>
      <c r="E828" s="5"/>
      <c r="F828" s="2">
        <f>D828*Katelaskelma!$D$41</f>
        <v>8284.0611496741421</v>
      </c>
      <c r="G828" s="5">
        <f>D828*Lähtötiedot!$C$11+Katelaskelma!$F$31-Katelaskelma!$F$46</f>
        <v>57405.859513230011</v>
      </c>
      <c r="H828" s="1"/>
    </row>
    <row r="829" spans="1:8" x14ac:dyDescent="0.25">
      <c r="A829" s="5"/>
      <c r="C829" s="2">
        <v>828</v>
      </c>
      <c r="D829" s="5">
        <v>783.24744468040058</v>
      </c>
      <c r="E829" s="5"/>
      <c r="F829" s="2">
        <f>D829*Katelaskelma!$D$41</f>
        <v>9350.3571514778596</v>
      </c>
      <c r="G829" s="5">
        <f>D829*Lähtötiedot!$C$11+Katelaskelma!$F$31-Katelaskelma!$F$46</f>
        <v>70089.295229332405</v>
      </c>
      <c r="H829" s="1"/>
    </row>
    <row r="830" spans="1:8" x14ac:dyDescent="0.25">
      <c r="A830" s="5"/>
      <c r="C830" s="2">
        <v>829</v>
      </c>
      <c r="D830" s="5">
        <v>548.5930725430087</v>
      </c>
      <c r="E830" s="5"/>
      <c r="F830" s="2">
        <f>D830*Katelaskelma!$D$41</f>
        <v>6549.0684890734774</v>
      </c>
      <c r="G830" s="5">
        <f>D830*Lähtötiedot!$C$11+Katelaskelma!$F$31-Katelaskelma!$F$46</f>
        <v>36768.374385822768</v>
      </c>
      <c r="H830" s="1"/>
    </row>
    <row r="831" spans="1:8" x14ac:dyDescent="0.25">
      <c r="A831" s="5"/>
      <c r="C831" s="2">
        <v>830</v>
      </c>
      <c r="D831" s="5">
        <v>520.76983627210006</v>
      </c>
      <c r="E831" s="5"/>
      <c r="F831" s="2">
        <f>D831*Katelaskelma!$D$41</f>
        <v>6216.9165005673367</v>
      </c>
      <c r="G831" s="5">
        <f>D831*Lähtötiedot!$C$11+Katelaskelma!$F$31-Katelaskelma!$F$46</f>
        <v>32817.474835353758</v>
      </c>
      <c r="H831" s="1"/>
    </row>
    <row r="832" spans="1:8" x14ac:dyDescent="0.25">
      <c r="A832" s="5"/>
      <c r="C832" s="2">
        <v>831</v>
      </c>
      <c r="D832" s="5">
        <v>964.26480562178017</v>
      </c>
      <c r="E832" s="5"/>
      <c r="F832" s="2">
        <f>D832*Katelaskelma!$D$41</f>
        <v>11511.330655975564</v>
      </c>
      <c r="G832" s="5">
        <f>D832*Lähtötiedot!$C$11+Katelaskelma!$F$31-Katelaskelma!$F$46</f>
        <v>95793.760483008315</v>
      </c>
      <c r="H832" s="1"/>
    </row>
    <row r="833" spans="1:8" x14ac:dyDescent="0.25">
      <c r="A833" s="5"/>
      <c r="C833" s="2">
        <v>832</v>
      </c>
      <c r="D833" s="5">
        <v>508.93850598721775</v>
      </c>
      <c r="E833" s="5"/>
      <c r="F833" s="2">
        <f>D833*Katelaskelma!$D$41</f>
        <v>6075.6748476362036</v>
      </c>
      <c r="G833" s="5">
        <f>D833*Lähtötiedot!$C$11+Katelaskelma!$F$31-Katelaskelma!$F$46</f>
        <v>31137.425934900442</v>
      </c>
      <c r="H833" s="1"/>
    </row>
    <row r="834" spans="1:8" x14ac:dyDescent="0.25">
      <c r="A834" s="5"/>
      <c r="C834" s="2">
        <v>833</v>
      </c>
      <c r="D834" s="5">
        <v>972.77047384365483</v>
      </c>
      <c r="E834" s="5"/>
      <c r="F834" s="2">
        <f>D834*Katelaskelma!$D$41</f>
        <v>11612.870771077958</v>
      </c>
      <c r="G834" s="5">
        <f>D834*Lähtötiedot!$C$11+Katelaskelma!$F$31-Katelaskelma!$F$46</f>
        <v>97001.565370514523</v>
      </c>
      <c r="H834" s="1"/>
    </row>
    <row r="835" spans="1:8" x14ac:dyDescent="0.25">
      <c r="A835" s="5"/>
      <c r="C835" s="2">
        <v>834</v>
      </c>
      <c r="D835" s="5">
        <v>924.80105349360497</v>
      </c>
      <c r="E835" s="5"/>
      <c r="F835" s="2">
        <f>D835*Katelaskelma!$D$41</f>
        <v>11040.214944788786</v>
      </c>
      <c r="G835" s="5">
        <f>D835*Lähtötiedot!$C$11+Katelaskelma!$F$31-Katelaskelma!$F$46</f>
        <v>90189.907680807461</v>
      </c>
      <c r="H835" s="1"/>
    </row>
    <row r="836" spans="1:8" x14ac:dyDescent="0.25">
      <c r="A836" s="5"/>
      <c r="C836" s="2">
        <v>835</v>
      </c>
      <c r="D836" s="5">
        <v>910.0802866428437</v>
      </c>
      <c r="E836" s="5"/>
      <c r="F836" s="2">
        <f>D836*Katelaskelma!$D$41</f>
        <v>10864.479385696834</v>
      </c>
      <c r="G836" s="5">
        <f>D836*Lähtötiedot!$C$11+Katelaskelma!$F$31-Katelaskelma!$F$46</f>
        <v>88099.558787999355</v>
      </c>
      <c r="H836" s="1"/>
    </row>
    <row r="837" spans="1:8" x14ac:dyDescent="0.25">
      <c r="A837" s="5"/>
      <c r="C837" s="2">
        <v>836</v>
      </c>
      <c r="D837" s="5">
        <v>1106.811572462959</v>
      </c>
      <c r="E837" s="5"/>
      <c r="F837" s="2">
        <f>D837*Katelaskelma!$D$41</f>
        <v>13213.044705355362</v>
      </c>
      <c r="G837" s="5">
        <f>D837*Lähtötiedot!$C$11+Katelaskelma!$F$31-Katelaskelma!$F$46</f>
        <v>116035.40137445572</v>
      </c>
      <c r="H837" s="1"/>
    </row>
    <row r="838" spans="1:8" x14ac:dyDescent="0.25">
      <c r="A838" s="5"/>
      <c r="C838" s="2">
        <v>837</v>
      </c>
      <c r="D838" s="5">
        <v>1349.3093120256451</v>
      </c>
      <c r="E838" s="5"/>
      <c r="F838" s="2">
        <f>D838*Katelaskelma!$D$41</f>
        <v>16107.96697894464</v>
      </c>
      <c r="G838" s="5">
        <f>D838*Lähtötiedot!$C$11+Katelaskelma!$F$31-Katelaskelma!$F$46</f>
        <v>150470.08039235714</v>
      </c>
      <c r="H838" s="1"/>
    </row>
    <row r="839" spans="1:8" x14ac:dyDescent="0.25">
      <c r="A839" s="5"/>
      <c r="C839" s="2">
        <v>838</v>
      </c>
      <c r="D839" s="5">
        <v>821.2052433659394</v>
      </c>
      <c r="E839" s="5"/>
      <c r="F839" s="2">
        <f>D839*Katelaskelma!$D$41</f>
        <v>9803.4948882227363</v>
      </c>
      <c r="G839" s="5">
        <f>D839*Lähtötiedot!$C$11+Katelaskelma!$F$31-Katelaskelma!$F$46</f>
        <v>75479.302642678929</v>
      </c>
      <c r="H839" s="1"/>
    </row>
    <row r="840" spans="1:8" x14ac:dyDescent="0.25">
      <c r="A840" s="5"/>
      <c r="C840" s="2">
        <v>839</v>
      </c>
      <c r="D840" s="5">
        <v>800.91997000696188</v>
      </c>
      <c r="E840" s="5"/>
      <c r="F840" s="2">
        <f>D840*Katelaskelma!$D$41</f>
        <v>9561.3306116457534</v>
      </c>
      <c r="G840" s="5">
        <f>D840*Lähtötiedot!$C$11+Katelaskelma!$F$31-Katelaskelma!$F$46</f>
        <v>72598.79382570411</v>
      </c>
      <c r="H840" s="1"/>
    </row>
    <row r="841" spans="1:8" x14ac:dyDescent="0.25">
      <c r="A841" s="5"/>
      <c r="C841" s="2">
        <v>840</v>
      </c>
      <c r="D841" s="5">
        <v>499.35497655797127</v>
      </c>
      <c r="E841" s="5"/>
      <c r="F841" s="2">
        <f>D841*Katelaskelma!$D$41</f>
        <v>5961.2672954076506</v>
      </c>
      <c r="G841" s="5">
        <f>D841*Lähtötiedot!$C$11+Katelaskelma!$F$31-Katelaskelma!$F$46</f>
        <v>29776.564755947446</v>
      </c>
      <c r="H841" s="1"/>
    </row>
    <row r="842" spans="1:8" x14ac:dyDescent="0.25">
      <c r="A842" s="5"/>
      <c r="C842" s="2">
        <v>841</v>
      </c>
      <c r="D842" s="5">
        <v>584.65282273495745</v>
      </c>
      <c r="E842" s="5"/>
      <c r="F842" s="2">
        <f>D842*Katelaskelma!$D$41</f>
        <v>6979.5474461103231</v>
      </c>
      <c r="G842" s="5">
        <f>D842*Lähtötiedot!$C$11+Katelaskelma!$F$31-Katelaskelma!$F$46</f>
        <v>41888.858913079486</v>
      </c>
      <c r="H842" s="1"/>
    </row>
    <row r="843" spans="1:8" x14ac:dyDescent="0.25">
      <c r="A843" s="5"/>
      <c r="C843" s="2">
        <v>842</v>
      </c>
      <c r="D843" s="5">
        <v>1117.922909182427</v>
      </c>
      <c r="E843" s="5"/>
      <c r="F843" s="2">
        <f>D843*Katelaskelma!$D$41</f>
        <v>13345.691121839682</v>
      </c>
      <c r="G843" s="5">
        <f>D843*Lähtötiedot!$C$11+Katelaskelma!$F$31-Katelaskelma!$F$46</f>
        <v>117613.21118862019</v>
      </c>
      <c r="H843" s="1"/>
    </row>
    <row r="844" spans="1:8" x14ac:dyDescent="0.25">
      <c r="A844" s="5"/>
      <c r="C844" s="2">
        <v>843</v>
      </c>
      <c r="D844" s="5">
        <v>1022.4084817258756</v>
      </c>
      <c r="E844" s="5"/>
      <c r="F844" s="2">
        <f>D844*Katelaskelma!$D$41</f>
        <v>12205.446087012788</v>
      </c>
      <c r="G844" s="5">
        <f>D844*Lähtötiedot!$C$11+Katelaskelma!$F$31-Katelaskelma!$F$46</f>
        <v>104050.16248978989</v>
      </c>
      <c r="H844" s="1"/>
    </row>
    <row r="845" spans="1:8" x14ac:dyDescent="0.25">
      <c r="A845" s="5"/>
      <c r="C845" s="2">
        <v>844</v>
      </c>
      <c r="D845" s="5">
        <v>1067.4045120829817</v>
      </c>
      <c r="E845" s="5"/>
      <c r="F845" s="2">
        <f>D845*Katelaskelma!$D$41</f>
        <v>12742.605776578526</v>
      </c>
      <c r="G845" s="5">
        <f>D845*Lähtötiedot!$C$11+Katelaskelma!$F$31-Katelaskelma!$F$46</f>
        <v>110439.59880049893</v>
      </c>
      <c r="H845" s="1"/>
    </row>
    <row r="846" spans="1:8" x14ac:dyDescent="0.25">
      <c r="A846" s="5"/>
      <c r="C846" s="2">
        <v>845</v>
      </c>
      <c r="D846" s="5">
        <v>969.01728232906657</v>
      </c>
      <c r="E846" s="5"/>
      <c r="F846" s="2">
        <f>D846*Katelaskelma!$D$41</f>
        <v>11568.065414408564</v>
      </c>
      <c r="G846" s="5">
        <f>D846*Lähtötiedot!$C$11+Katelaskelma!$F$31-Katelaskelma!$F$46</f>
        <v>96468.612175443006</v>
      </c>
      <c r="H846" s="1"/>
    </row>
    <row r="847" spans="1:8" x14ac:dyDescent="0.25">
      <c r="A847" s="5"/>
      <c r="C847" s="2">
        <v>846</v>
      </c>
      <c r="D847" s="5">
        <v>398.15583740139829</v>
      </c>
      <c r="E847" s="5"/>
      <c r="F847" s="2">
        <f>D847*Katelaskelma!$D$41</f>
        <v>4753.1585413188632</v>
      </c>
      <c r="G847" s="5">
        <f>D847*Lähtötiedot!$C$11+Katelaskelma!$F$31-Katelaskelma!$F$46</f>
        <v>15406.286995714094</v>
      </c>
      <c r="H847" s="1"/>
    </row>
    <row r="848" spans="1:8" x14ac:dyDescent="0.25">
      <c r="A848" s="5"/>
      <c r="C848" s="2">
        <v>847</v>
      </c>
      <c r="D848" s="5">
        <v>754.72177487842669</v>
      </c>
      <c r="E848" s="5"/>
      <c r="F848" s="2">
        <f>D848*Katelaskelma!$D$41</f>
        <v>9009.819557075085</v>
      </c>
      <c r="G848" s="5">
        <f>D848*Lähtötiedot!$C$11+Katelaskelma!$F$31-Katelaskelma!$F$46</f>
        <v>66038.650117452111</v>
      </c>
      <c r="H848" s="1"/>
    </row>
    <row r="849" spans="1:8" x14ac:dyDescent="0.25">
      <c r="A849" s="5"/>
      <c r="C849" s="2">
        <v>848</v>
      </c>
      <c r="D849" s="5">
        <v>686.41557925725397</v>
      </c>
      <c r="E849" s="5"/>
      <c r="F849" s="2">
        <f>D849*Katelaskelma!$D$41</f>
        <v>8194.3846277248977</v>
      </c>
      <c r="G849" s="5">
        <f>D849*Lähtötiedot!$C$11+Katelaskelma!$F$31-Katelaskelma!$F$46</f>
        <v>56339.170339245611</v>
      </c>
      <c r="H849" s="1"/>
    </row>
    <row r="850" spans="1:8" x14ac:dyDescent="0.25">
      <c r="A850" s="5"/>
      <c r="C850" s="2">
        <v>849</v>
      </c>
      <c r="D850" s="5">
        <v>1291.8353282639848</v>
      </c>
      <c r="E850" s="5"/>
      <c r="F850" s="2">
        <f>D850*Katelaskelma!$D$41</f>
        <v>15421.846291619517</v>
      </c>
      <c r="G850" s="5">
        <f>D850*Lähtötiedot!$C$11+Katelaskelma!$F$31-Katelaskelma!$F$46</f>
        <v>142308.77469820139</v>
      </c>
      <c r="H850" s="1"/>
    </row>
    <row r="851" spans="1:8" x14ac:dyDescent="0.25">
      <c r="A851" s="5"/>
      <c r="C851" s="2">
        <v>850</v>
      </c>
      <c r="D851" s="5">
        <v>775.42409575921988</v>
      </c>
      <c r="E851" s="5"/>
      <c r="F851" s="2">
        <f>D851*Katelaskelma!$D$41</f>
        <v>9256.9625198956037</v>
      </c>
      <c r="G851" s="5">
        <f>D851*Lähtötiedot!$C$11+Katelaskelma!$F$31-Katelaskelma!$F$46</f>
        <v>68978.37968252477</v>
      </c>
      <c r="H851" s="1"/>
    </row>
    <row r="852" spans="1:8" x14ac:dyDescent="0.25">
      <c r="A852" s="5"/>
      <c r="C852" s="2">
        <v>851</v>
      </c>
      <c r="D852" s="5">
        <v>922.2295906774832</v>
      </c>
      <c r="E852" s="5"/>
      <c r="F852" s="2">
        <f>D852*Katelaskelma!$D$41</f>
        <v>11009.516988611867</v>
      </c>
      <c r="G852" s="5">
        <f>D852*Lähtötiedot!$C$11+Katelaskelma!$F$31-Katelaskelma!$F$46</f>
        <v>89824.759960918163</v>
      </c>
      <c r="H852" s="1"/>
    </row>
    <row r="853" spans="1:8" x14ac:dyDescent="0.25">
      <c r="A853" s="5"/>
      <c r="C853" s="2">
        <v>852</v>
      </c>
      <c r="D853" s="5">
        <v>1289.6662021727186</v>
      </c>
      <c r="E853" s="5"/>
      <c r="F853" s="2">
        <f>D853*Katelaskelma!$D$41</f>
        <v>15395.951405146947</v>
      </c>
      <c r="G853" s="5">
        <f>D853*Lähtötiedot!$C$11+Katelaskelma!$F$31-Katelaskelma!$F$46</f>
        <v>142000.75879324158</v>
      </c>
      <c r="H853" s="1"/>
    </row>
    <row r="854" spans="1:8" x14ac:dyDescent="0.25">
      <c r="A854" s="5"/>
      <c r="C854" s="2">
        <v>853</v>
      </c>
      <c r="D854" s="5">
        <v>740.28960486396431</v>
      </c>
      <c r="E854" s="5"/>
      <c r="F854" s="2">
        <f>D854*Katelaskelma!$D$41</f>
        <v>8837.5292482811183</v>
      </c>
      <c r="G854" s="5">
        <f>D854*Lähtötiedot!$C$11+Katelaskelma!$F$31-Katelaskelma!$F$46</f>
        <v>63989.28197539848</v>
      </c>
      <c r="H854" s="1"/>
    </row>
    <row r="855" spans="1:8" x14ac:dyDescent="0.25">
      <c r="A855" s="5"/>
      <c r="C855" s="2">
        <v>854</v>
      </c>
      <c r="D855" s="5">
        <v>954.95531478294038</v>
      </c>
      <c r="E855" s="5"/>
      <c r="F855" s="2">
        <f>D855*Katelaskelma!$D$41</f>
        <v>11400.194558650557</v>
      </c>
      <c r="G855" s="5">
        <f>D855*Lähtötiedot!$C$11+Katelaskelma!$F$31-Katelaskelma!$F$46</f>
        <v>94471.812783893081</v>
      </c>
      <c r="H855" s="1"/>
    </row>
    <row r="856" spans="1:8" x14ac:dyDescent="0.25">
      <c r="A856" s="5"/>
      <c r="C856" s="2">
        <v>855</v>
      </c>
      <c r="D856" s="5">
        <v>893.5167896546011</v>
      </c>
      <c r="E856" s="5"/>
      <c r="F856" s="2">
        <f>D856*Katelaskelma!$D$41</f>
        <v>10666.745433841183</v>
      </c>
      <c r="G856" s="5">
        <f>D856*Lähtötiedot!$C$11+Katelaskelma!$F$31-Katelaskelma!$F$46</f>
        <v>85747.542215668887</v>
      </c>
      <c r="H856" s="1"/>
    </row>
    <row r="857" spans="1:8" x14ac:dyDescent="0.25">
      <c r="A857" s="5"/>
      <c r="C857" s="2">
        <v>856</v>
      </c>
      <c r="D857" s="5">
        <v>1388.2864451210455</v>
      </c>
      <c r="E857" s="5"/>
      <c r="F857" s="2">
        <f>D857*Katelaskelma!$D$41</f>
        <v>16573.273463706162</v>
      </c>
      <c r="G857" s="5">
        <f>D857*Lähtötiedot!$C$11+Katelaskelma!$F$31-Katelaskelma!$F$46</f>
        <v>156004.83329190401</v>
      </c>
      <c r="H857" s="1"/>
    </row>
    <row r="858" spans="1:8" x14ac:dyDescent="0.25">
      <c r="A858" s="5"/>
      <c r="C858" s="2">
        <v>857</v>
      </c>
      <c r="D858" s="5">
        <v>550.71563814052092</v>
      </c>
      <c r="E858" s="5"/>
      <c r="F858" s="2">
        <f>D858*Katelaskelma!$D$41</f>
        <v>6574.4075393940029</v>
      </c>
      <c r="G858" s="5">
        <f>D858*Lähtötiedot!$C$11+Katelaskelma!$F$31-Katelaskelma!$F$46</f>
        <v>37069.7787006695</v>
      </c>
      <c r="H858" s="1"/>
    </row>
    <row r="859" spans="1:8" x14ac:dyDescent="0.25">
      <c r="A859" s="5"/>
      <c r="C859" s="2">
        <v>858</v>
      </c>
      <c r="D859" s="5">
        <v>987.50717659133375</v>
      </c>
      <c r="E859" s="5"/>
      <c r="F859" s="2">
        <f>D859*Katelaskelma!$D$41</f>
        <v>11788.796571872863</v>
      </c>
      <c r="G859" s="5">
        <f>D859*Lähtötiedot!$C$11+Katelaskelma!$F$31-Katelaskelma!$F$46</f>
        <v>99094.177160684922</v>
      </c>
      <c r="H859" s="1"/>
    </row>
    <row r="860" spans="1:8" x14ac:dyDescent="0.25">
      <c r="A860" s="5"/>
      <c r="C860" s="2">
        <v>859</v>
      </c>
      <c r="D860" s="5">
        <v>686.01415024634321</v>
      </c>
      <c r="E860" s="5"/>
      <c r="F860" s="2">
        <f>D860*Katelaskelma!$D$41</f>
        <v>8189.5923942506961</v>
      </c>
      <c r="G860" s="5">
        <f>D860*Lähtötiedot!$C$11+Katelaskelma!$F$31-Katelaskelma!$F$46</f>
        <v>56282.167419696256</v>
      </c>
      <c r="H860" s="1"/>
    </row>
    <row r="861" spans="1:8" x14ac:dyDescent="0.25">
      <c r="A861" s="5"/>
      <c r="C861" s="2">
        <v>860</v>
      </c>
      <c r="D861" s="5">
        <v>1023.5232345721263</v>
      </c>
      <c r="E861" s="5"/>
      <c r="F861" s="2">
        <f>D861*Katelaskelma!$D$41</f>
        <v>12218.753934129129</v>
      </c>
      <c r="G861" s="5">
        <f>D861*Lähtötiedot!$C$11+Katelaskelma!$F$31-Katelaskelma!$F$46</f>
        <v>104208.45739395748</v>
      </c>
      <c r="H861" s="1"/>
    </row>
    <row r="862" spans="1:8" x14ac:dyDescent="0.25">
      <c r="A862" s="5"/>
      <c r="C862" s="2">
        <v>861</v>
      </c>
      <c r="D862" s="5">
        <v>935.40730092746867</v>
      </c>
      <c r="E862" s="5"/>
      <c r="F862" s="2">
        <f>D862*Katelaskelma!$D$41</f>
        <v>11166.831638168536</v>
      </c>
      <c r="G862" s="5">
        <f>D862*Lähtötiedot!$C$11+Katelaskelma!$F$31-Katelaskelma!$F$46</f>
        <v>91695.994816416089</v>
      </c>
      <c r="H862" s="1"/>
    </row>
    <row r="863" spans="1:8" x14ac:dyDescent="0.25">
      <c r="A863" s="5"/>
      <c r="C863" s="2">
        <v>862</v>
      </c>
      <c r="D863" s="5">
        <v>1310.119498668804</v>
      </c>
      <c r="E863" s="5"/>
      <c r="F863" s="2">
        <f>D863*Katelaskelma!$D$41</f>
        <v>15640.1215310278</v>
      </c>
      <c r="G863" s="5">
        <f>D863*Lähtötiedot!$C$11+Katelaskelma!$F$31-Katelaskelma!$F$46</f>
        <v>144905.12689568571</v>
      </c>
      <c r="H863" s="1"/>
    </row>
    <row r="864" spans="1:8" x14ac:dyDescent="0.25">
      <c r="A864" s="5"/>
      <c r="C864" s="2">
        <v>863</v>
      </c>
      <c r="D864" s="5">
        <v>271.17566707349016</v>
      </c>
      <c r="E864" s="5"/>
      <c r="F864" s="2">
        <f>D864*Katelaskelma!$D$41</f>
        <v>3237.2775106365266</v>
      </c>
      <c r="G864" s="5">
        <f>D864*Lähtötiedot!$C$11+Katelaskelma!$F$31-Katelaskelma!$F$46</f>
        <v>-2624.8971908488602</v>
      </c>
      <c r="H864" s="1"/>
    </row>
    <row r="865" spans="1:8" x14ac:dyDescent="0.25">
      <c r="A865" s="5"/>
      <c r="C865" s="2">
        <v>864</v>
      </c>
      <c r="D865" s="5">
        <v>826.09714671962797</v>
      </c>
      <c r="E865" s="5"/>
      <c r="F865" s="2">
        <f>D865*Katelaskelma!$D$41</f>
        <v>9861.8941129098512</v>
      </c>
      <c r="G865" s="5">
        <f>D865*Lähtötiedot!$C$11+Katelaskelma!$F$31-Katelaskelma!$F$46</f>
        <v>76173.952918902709</v>
      </c>
      <c r="H865" s="1"/>
    </row>
    <row r="866" spans="1:8" x14ac:dyDescent="0.25">
      <c r="A866" s="5"/>
      <c r="C866" s="2">
        <v>865</v>
      </c>
      <c r="D866" s="5">
        <v>1186.8201679238853</v>
      </c>
      <c r="E866" s="5"/>
      <c r="F866" s="2">
        <f>D866*Katelaskelma!$D$41</f>
        <v>14168.182124352026</v>
      </c>
      <c r="G866" s="5">
        <f>D866*Lähtötiedot!$C$11+Katelaskelma!$F$31-Katelaskelma!$F$46</f>
        <v>127396.62192990724</v>
      </c>
      <c r="H866" s="1"/>
    </row>
    <row r="867" spans="1:8" x14ac:dyDescent="0.25">
      <c r="A867" s="5"/>
      <c r="C867" s="2">
        <v>866</v>
      </c>
      <c r="D867" s="5">
        <v>680.92368949318757</v>
      </c>
      <c r="E867" s="5"/>
      <c r="F867" s="2">
        <f>D867*Katelaskelma!$D$41</f>
        <v>8128.8228042177425</v>
      </c>
      <c r="G867" s="5">
        <f>D867*Lähtötiedot!$C$11+Katelaskelma!$F$31-Katelaskelma!$F$46</f>
        <v>55559.321992748155</v>
      </c>
      <c r="H867" s="1"/>
    </row>
    <row r="868" spans="1:8" x14ac:dyDescent="0.25">
      <c r="A868" s="5"/>
      <c r="C868" s="2">
        <v>867</v>
      </c>
      <c r="D868" s="5">
        <v>737.169610134001</v>
      </c>
      <c r="E868" s="5"/>
      <c r="F868" s="2">
        <f>D868*Katelaskelma!$D$41</f>
        <v>8800.2829537237321</v>
      </c>
      <c r="G868" s="5">
        <f>D868*Lähtötiedot!$C$11+Katelaskelma!$F$31-Katelaskelma!$F$46</f>
        <v>63546.242723743664</v>
      </c>
      <c r="H868" s="1"/>
    </row>
    <row r="869" spans="1:8" x14ac:dyDescent="0.25">
      <c r="A869" s="5"/>
      <c r="C869" s="2">
        <v>868</v>
      </c>
      <c r="D869" s="5">
        <v>611.75142786678884</v>
      </c>
      <c r="E869" s="5"/>
      <c r="F869" s="2">
        <f>D869*Katelaskelma!$D$41</f>
        <v>7303.0488351163031</v>
      </c>
      <c r="G869" s="5">
        <f>D869*Lähtötiedot!$C$11+Katelaskelma!$F$31-Katelaskelma!$F$46</f>
        <v>45736.860841799557</v>
      </c>
      <c r="H869" s="1"/>
    </row>
    <row r="870" spans="1:8" x14ac:dyDescent="0.25">
      <c r="A870" s="5"/>
      <c r="C870" s="2">
        <v>869</v>
      </c>
      <c r="D870" s="5">
        <v>478.21705610892906</v>
      </c>
      <c r="E870" s="5"/>
      <c r="F870" s="2">
        <f>D870*Katelaskelma!$D$41</f>
        <v>5708.9241732175478</v>
      </c>
      <c r="G870" s="5">
        <f>D870*Lähtötiedot!$C$11+Katelaskelma!$F$31-Katelaskelma!$F$46</f>
        <v>26774.98005218347</v>
      </c>
      <c r="H870" s="1"/>
    </row>
    <row r="871" spans="1:8" x14ac:dyDescent="0.25">
      <c r="A871" s="5"/>
      <c r="C871" s="2">
        <v>870</v>
      </c>
      <c r="D871" s="5">
        <v>190.91143460475206</v>
      </c>
      <c r="E871" s="5"/>
      <c r="F871" s="2">
        <f>D871*Katelaskelma!$D$41</f>
        <v>2279.0883136348261</v>
      </c>
      <c r="G871" s="5">
        <f>D871*Lähtötiedot!$C$11+Katelaskelma!$F$31-Katelaskelma!$F$46</f>
        <v>-14022.418201409673</v>
      </c>
      <c r="H871" s="1"/>
    </row>
    <row r="872" spans="1:8" x14ac:dyDescent="0.25">
      <c r="A872" s="5"/>
      <c r="C872" s="2">
        <v>871</v>
      </c>
      <c r="D872" s="5">
        <v>971.33006716561636</v>
      </c>
      <c r="E872" s="5"/>
      <c r="F872" s="2">
        <f>D872*Katelaskelma!$D$41</f>
        <v>11595.675289656976</v>
      </c>
      <c r="G872" s="5">
        <f>D872*Lähtötiedot!$C$11+Katelaskelma!$F$31-Katelaskelma!$F$46</f>
        <v>96797.027622233058</v>
      </c>
      <c r="H872" s="1"/>
    </row>
    <row r="873" spans="1:8" x14ac:dyDescent="0.25">
      <c r="A873" s="5"/>
      <c r="C873" s="2">
        <v>872</v>
      </c>
      <c r="D873" s="5">
        <v>321.84038453525574</v>
      </c>
      <c r="E873" s="5"/>
      <c r="F873" s="2">
        <f>D873*Katelaskelma!$D$41</f>
        <v>3842.1096188849342</v>
      </c>
      <c r="G873" s="5">
        <f>D873*Lähtötiedot!$C$11+Katelaskelma!$F$31-Katelaskelma!$F$46</f>
        <v>4569.4926887218462</v>
      </c>
      <c r="H873" s="1"/>
    </row>
    <row r="874" spans="1:8" x14ac:dyDescent="0.25">
      <c r="A874" s="5"/>
      <c r="C874" s="2">
        <v>873</v>
      </c>
      <c r="D874" s="5">
        <v>485.08209156565164</v>
      </c>
      <c r="E874" s="5"/>
      <c r="F874" s="2">
        <f>D874*Katelaskelma!$D$41</f>
        <v>5790.8785208683184</v>
      </c>
      <c r="G874" s="5">
        <f>D874*Lähtötiedot!$C$11+Katelaskelma!$F$31-Katelaskelma!$F$46</f>
        <v>27749.815087038063</v>
      </c>
      <c r="H874" s="1"/>
    </row>
    <row r="875" spans="1:8" x14ac:dyDescent="0.25">
      <c r="A875" s="5"/>
      <c r="C875" s="2">
        <v>874</v>
      </c>
      <c r="D875" s="5">
        <v>933.36189767197061</v>
      </c>
      <c r="E875" s="5"/>
      <c r="F875" s="2">
        <f>D875*Katelaskelma!$D$41</f>
        <v>11142.413746878121</v>
      </c>
      <c r="G875" s="5">
        <f>D875*Lähtötiedot!$C$11+Katelaskelma!$F$31-Katelaskelma!$F$46</f>
        <v>91405.547554135381</v>
      </c>
      <c r="H875" s="1"/>
    </row>
    <row r="876" spans="1:8" x14ac:dyDescent="0.25">
      <c r="A876" s="5"/>
      <c r="C876" s="2">
        <v>875</v>
      </c>
      <c r="D876" s="5">
        <v>862.25455653506856</v>
      </c>
      <c r="E876" s="5"/>
      <c r="F876" s="2">
        <f>D876*Katelaskelma!$D$41</f>
        <v>10293.538924192542</v>
      </c>
      <c r="G876" s="5">
        <f>D876*Lähtötiedot!$C$11+Katelaskelma!$F$31-Katelaskelma!$F$46</f>
        <v>81308.305112695263</v>
      </c>
      <c r="H876" s="1"/>
    </row>
    <row r="877" spans="1:8" x14ac:dyDescent="0.25">
      <c r="A877" s="5"/>
      <c r="C877" s="2">
        <v>876</v>
      </c>
      <c r="D877" s="5">
        <v>681.94790346748164</v>
      </c>
      <c r="E877" s="5"/>
      <c r="F877" s="2">
        <f>D877*Katelaskelma!$D$41</f>
        <v>8141.0498041578348</v>
      </c>
      <c r="G877" s="5">
        <f>D877*Lähtötiedot!$C$11+Katelaskelma!$F$31-Katelaskelma!$F$46</f>
        <v>55704.760377097933</v>
      </c>
      <c r="H877" s="1"/>
    </row>
    <row r="878" spans="1:8" x14ac:dyDescent="0.25">
      <c r="A878" s="5"/>
      <c r="C878" s="2">
        <v>877</v>
      </c>
      <c r="D878" s="5">
        <v>514.2243726903514</v>
      </c>
      <c r="E878" s="5"/>
      <c r="F878" s="2">
        <f>D878*Katelaskelma!$D$41</f>
        <v>6138.7771812155643</v>
      </c>
      <c r="G878" s="5">
        <f>D878*Lähtötiedot!$C$11+Katelaskelma!$F$31-Katelaskelma!$F$46</f>
        <v>31888.019006745424</v>
      </c>
      <c r="H878" s="1"/>
    </row>
    <row r="879" spans="1:8" x14ac:dyDescent="0.25">
      <c r="A879" s="5"/>
      <c r="C879" s="2">
        <v>878</v>
      </c>
      <c r="D879" s="5">
        <v>1338.3086784917371</v>
      </c>
      <c r="E879" s="5"/>
      <c r="F879" s="2">
        <f>D879*Katelaskelma!$D$41</f>
        <v>15976.642129903432</v>
      </c>
      <c r="G879" s="5">
        <f>D879*Lähtötiedot!$C$11+Katelaskelma!$F$31-Katelaskelma!$F$46</f>
        <v>148907.99043054221</v>
      </c>
      <c r="H879" s="1"/>
    </row>
    <row r="880" spans="1:8" x14ac:dyDescent="0.25">
      <c r="A880" s="5"/>
      <c r="C880" s="2">
        <v>879</v>
      </c>
      <c r="D880" s="5">
        <v>446.87424355869081</v>
      </c>
      <c r="E880" s="5"/>
      <c r="F880" s="2">
        <f>D880*Katelaskelma!$D$41</f>
        <v>5334.7557115558138</v>
      </c>
      <c r="G880" s="5">
        <f>D880*Lähtötiedot!$C$11+Katelaskelma!$F$31-Katelaskelma!$F$46</f>
        <v>22324.300670049619</v>
      </c>
      <c r="H880" s="1"/>
    </row>
    <row r="881" spans="1:8" x14ac:dyDescent="0.25">
      <c r="A881" s="5"/>
      <c r="C881" s="2">
        <v>880</v>
      </c>
      <c r="D881" s="5">
        <v>527.05660064448989</v>
      </c>
      <c r="E881" s="5"/>
      <c r="F881" s="2">
        <f>D881*Katelaskelma!$D$41</f>
        <v>6291.9674855507828</v>
      </c>
      <c r="G881" s="5">
        <f>D881*Lähtötiedot!$C$11+Katelaskelma!$F$31-Katelaskelma!$F$46</f>
        <v>33710.19537623311</v>
      </c>
      <c r="H881" s="1"/>
    </row>
    <row r="882" spans="1:8" x14ac:dyDescent="0.25">
      <c r="A882" s="5"/>
      <c r="C882" s="2">
        <v>881</v>
      </c>
      <c r="D882" s="5">
        <v>859.40318962772676</v>
      </c>
      <c r="E882" s="5"/>
      <c r="F882" s="2">
        <f>D882*Katelaskelma!$D$41</f>
        <v>10259.499491144114</v>
      </c>
      <c r="G882" s="5">
        <f>D882*Lähtötiedot!$C$11+Katelaskelma!$F$31-Katelaskelma!$F$46</f>
        <v>80903.411011852731</v>
      </c>
      <c r="H882" s="1"/>
    </row>
    <row r="883" spans="1:8" x14ac:dyDescent="0.25">
      <c r="A883" s="5"/>
      <c r="C883" s="2">
        <v>882</v>
      </c>
      <c r="D883" s="5">
        <v>885.05514658570542</v>
      </c>
      <c r="E883" s="5"/>
      <c r="F883" s="2">
        <f>D883*Katelaskelma!$D$41</f>
        <v>10565.730888157237</v>
      </c>
      <c r="G883" s="5">
        <f>D883*Lähtötiedot!$C$11+Katelaskelma!$F$31-Katelaskelma!$F$46</f>
        <v>84545.988899885706</v>
      </c>
      <c r="H883" s="1"/>
    </row>
    <row r="884" spans="1:8" x14ac:dyDescent="0.25">
      <c r="A884" s="5"/>
      <c r="C884" s="2">
        <v>883</v>
      </c>
      <c r="D884" s="5">
        <v>365.64056512682993</v>
      </c>
      <c r="E884" s="5"/>
      <c r="F884" s="2">
        <f>D884*Katelaskelma!$D$41</f>
        <v>4364.9933315762164</v>
      </c>
      <c r="G884" s="5">
        <f>D884*Lähtötiedot!$C$11+Katelaskelma!$F$31-Katelaskelma!$F$46</f>
        <v>10789.118332725382</v>
      </c>
      <c r="H884" s="1"/>
    </row>
    <row r="885" spans="1:8" x14ac:dyDescent="0.25">
      <c r="A885" s="5"/>
      <c r="C885" s="2">
        <v>884</v>
      </c>
      <c r="D885" s="5">
        <v>752.95038883591201</v>
      </c>
      <c r="E885" s="5"/>
      <c r="F885" s="2">
        <f>D885*Katelaskelma!$D$41</f>
        <v>8988.6728654859253</v>
      </c>
      <c r="G885" s="5">
        <f>D885*Lähtötiedot!$C$11+Katelaskelma!$F$31-Katelaskelma!$F$46</f>
        <v>65787.113299415039</v>
      </c>
      <c r="H885" s="1"/>
    </row>
    <row r="886" spans="1:8" x14ac:dyDescent="0.25">
      <c r="A886" s="5"/>
      <c r="C886" s="2">
        <v>885</v>
      </c>
      <c r="D886" s="5">
        <v>803.36761638198664</v>
      </c>
      <c r="E886" s="5"/>
      <c r="F886" s="2">
        <f>D886*Katelaskelma!$D$41</f>
        <v>9590.5504551861814</v>
      </c>
      <c r="G886" s="5">
        <f>D886*Lähtötiedot!$C$11+Katelaskelma!$F$31-Katelaskelma!$F$46</f>
        <v>72946.359610957647</v>
      </c>
      <c r="H886" s="1"/>
    </row>
    <row r="887" spans="1:8" x14ac:dyDescent="0.25">
      <c r="A887" s="5"/>
      <c r="C887" s="2">
        <v>886</v>
      </c>
      <c r="D887" s="5">
        <v>352.96596404628264</v>
      </c>
      <c r="E887" s="5"/>
      <c r="F887" s="2">
        <f>D887*Katelaskelma!$D$41</f>
        <v>4213.6847666258609</v>
      </c>
      <c r="G887" s="5">
        <f>D887*Lähtötiedot!$C$11+Katelaskelma!$F$31-Katelaskelma!$F$46</f>
        <v>8989.3249792876595</v>
      </c>
      <c r="H887" s="1"/>
    </row>
    <row r="888" spans="1:8" x14ac:dyDescent="0.25">
      <c r="A888" s="5"/>
      <c r="C888" s="2">
        <v>887</v>
      </c>
      <c r="D888" s="5">
        <v>972.03617704619296</v>
      </c>
      <c r="E888" s="5"/>
      <c r="F888" s="2">
        <f>D888*Katelaskelma!$D$41</f>
        <v>11604.104783575431</v>
      </c>
      <c r="G888" s="5">
        <f>D888*Lähtötiedot!$C$11+Katelaskelma!$F$31-Katelaskelma!$F$46</f>
        <v>96897.295225274953</v>
      </c>
      <c r="H888" s="1"/>
    </row>
    <row r="889" spans="1:8" x14ac:dyDescent="0.25">
      <c r="A889" s="5"/>
      <c r="C889" s="2">
        <v>888</v>
      </c>
      <c r="D889" s="5">
        <v>795.01177886309347</v>
      </c>
      <c r="E889" s="5"/>
      <c r="F889" s="2">
        <f>D889*Katelaskelma!$D$41</f>
        <v>9490.7990092899872</v>
      </c>
      <c r="G889" s="5">
        <f>D889*Lähtötiedot!$C$11+Katelaskelma!$F$31-Katelaskelma!$F$46</f>
        <v>71759.830683274806</v>
      </c>
      <c r="H889" s="1"/>
    </row>
    <row r="890" spans="1:8" x14ac:dyDescent="0.25">
      <c r="A890" s="5"/>
      <c r="C890" s="2">
        <v>889</v>
      </c>
      <c r="D890" s="5">
        <v>740.57480458598752</v>
      </c>
      <c r="E890" s="5"/>
      <c r="F890" s="2">
        <f>D890*Katelaskelma!$D$41</f>
        <v>8840.9339440493968</v>
      </c>
      <c r="G890" s="5">
        <f>D890*Lähtötiedot!$C$11+Katelaskelma!$F$31-Katelaskelma!$F$46</f>
        <v>64029.780335925752</v>
      </c>
      <c r="H890" s="1"/>
    </row>
    <row r="891" spans="1:8" x14ac:dyDescent="0.25">
      <c r="A891" s="5"/>
      <c r="C891" s="2">
        <v>890</v>
      </c>
      <c r="D891" s="5">
        <v>701.50416176605972</v>
      </c>
      <c r="E891" s="5"/>
      <c r="F891" s="2">
        <f>D891*Katelaskelma!$D$41</f>
        <v>8374.5111462664863</v>
      </c>
      <c r="G891" s="5">
        <f>D891*Lähtötiedot!$C$11+Katelaskelma!$F$31-Katelaskelma!$F$46</f>
        <v>58481.74905549601</v>
      </c>
      <c r="H891" s="1"/>
    </row>
    <row r="892" spans="1:8" x14ac:dyDescent="0.25">
      <c r="A892" s="5"/>
      <c r="C892" s="2">
        <v>891</v>
      </c>
      <c r="D892" s="5">
        <v>761.18138381861786</v>
      </c>
      <c r="E892" s="5"/>
      <c r="F892" s="2">
        <f>D892*Katelaskelma!$D$41</f>
        <v>9086.9339492890467</v>
      </c>
      <c r="G892" s="5">
        <f>D892*Lähtötiedot!$C$11+Katelaskelma!$F$31-Katelaskelma!$F$46</f>
        <v>66955.914586959261</v>
      </c>
      <c r="H892" s="1"/>
    </row>
    <row r="893" spans="1:8" x14ac:dyDescent="0.25">
      <c r="A893" s="5"/>
      <c r="C893" s="2">
        <v>892</v>
      </c>
      <c r="D893" s="5">
        <v>95.661324365513167</v>
      </c>
      <c r="E893" s="5"/>
      <c r="F893" s="2">
        <f>D893*Katelaskelma!$D$41</f>
        <v>1141.9986805905269</v>
      </c>
      <c r="G893" s="5">
        <f>D893*Lähtötiedot!$C$11+Katelaskelma!$F$31-Katelaskelma!$F$46</f>
        <v>-27547.933855381591</v>
      </c>
      <c r="H893" s="1"/>
    </row>
    <row r="894" spans="1:8" x14ac:dyDescent="0.25">
      <c r="A894" s="5"/>
      <c r="C894" s="2">
        <v>893</v>
      </c>
      <c r="D894" s="5">
        <v>635.84510481367465</v>
      </c>
      <c r="E894" s="5"/>
      <c r="F894" s="2">
        <f>D894*Katelaskelma!$D$41</f>
        <v>7590.6775865099789</v>
      </c>
      <c r="G894" s="5">
        <f>D894*Lähtötiedot!$C$11+Katelaskelma!$F$31-Katelaskelma!$F$46</f>
        <v>49158.162968257326</v>
      </c>
      <c r="H894" s="1"/>
    </row>
    <row r="895" spans="1:8" x14ac:dyDescent="0.25">
      <c r="A895" s="5"/>
      <c r="C895" s="2">
        <v>894</v>
      </c>
      <c r="D895" s="5">
        <v>224.62028304245615</v>
      </c>
      <c r="E895" s="5"/>
      <c r="F895" s="2">
        <f>D895*Katelaskelma!$D$41</f>
        <v>2681.5023581341106</v>
      </c>
      <c r="G895" s="5">
        <f>D895*Lähtötiedot!$C$11+Katelaskelma!$F$31-Katelaskelma!$F$46</f>
        <v>-9235.761723255695</v>
      </c>
      <c r="H895" s="1"/>
    </row>
    <row r="896" spans="1:8" x14ac:dyDescent="0.25">
      <c r="A896" s="5"/>
      <c r="C896" s="2">
        <v>895</v>
      </c>
      <c r="D896" s="5">
        <v>685.52164008074419</v>
      </c>
      <c r="E896" s="5"/>
      <c r="F896" s="2">
        <f>D896*Katelaskelma!$D$41</f>
        <v>8183.712839864198</v>
      </c>
      <c r="G896" s="5">
        <f>D896*Lähtötiedot!$C$11+Katelaskelma!$F$31-Katelaskelma!$F$46</f>
        <v>56212.230976181221</v>
      </c>
      <c r="H896" s="1"/>
    </row>
    <row r="897" spans="1:8" x14ac:dyDescent="0.25">
      <c r="A897" s="5"/>
      <c r="C897" s="2">
        <v>896</v>
      </c>
      <c r="D897" s="5">
        <v>946.85061675988231</v>
      </c>
      <c r="E897" s="5"/>
      <c r="F897" s="2">
        <f>D897*Katelaskelma!$D$41</f>
        <v>11303.441199753368</v>
      </c>
      <c r="G897" s="5">
        <f>D897*Lähtötiedot!$C$11+Katelaskelma!$F$31-Katelaskelma!$F$46</f>
        <v>93320.945664618834</v>
      </c>
      <c r="H897" s="1"/>
    </row>
    <row r="898" spans="1:8" x14ac:dyDescent="0.25">
      <c r="A898" s="5"/>
      <c r="C898" s="2">
        <v>897</v>
      </c>
      <c r="D898" s="5">
        <v>270.18943978955241</v>
      </c>
      <c r="E898" s="5"/>
      <c r="F898" s="2">
        <f>D898*Katelaskelma!$D$41</f>
        <v>3225.5039933400699</v>
      </c>
      <c r="G898" s="5">
        <f>D898*Lähtötiedot!$C$11+Katelaskelma!$F$31-Katelaskelma!$F$46</f>
        <v>-2764.9414651680272</v>
      </c>
      <c r="H898" s="1"/>
    </row>
    <row r="899" spans="1:8" x14ac:dyDescent="0.25">
      <c r="A899" s="5"/>
      <c r="C899" s="2">
        <v>898</v>
      </c>
      <c r="D899" s="5">
        <v>610.48236989116708</v>
      </c>
      <c r="E899" s="5"/>
      <c r="F899" s="2">
        <f>D899*Katelaskelma!$D$41</f>
        <v>7287.8989033819753</v>
      </c>
      <c r="G899" s="5">
        <f>D899*Lähtötiedot!$C$11+Katelaskelma!$F$31-Katelaskelma!$F$46</f>
        <v>45556.654609261255</v>
      </c>
      <c r="H899" s="1"/>
    </row>
    <row r="900" spans="1:8" x14ac:dyDescent="0.25">
      <c r="A900" s="5"/>
      <c r="C900" s="2">
        <v>899</v>
      </c>
      <c r="D900" s="5">
        <v>496.80254652573723</v>
      </c>
      <c r="E900" s="5"/>
      <c r="F900" s="2">
        <f>D900*Katelaskelma!$D$41</f>
        <v>5930.7965513693034</v>
      </c>
      <c r="G900" s="5">
        <f>D900*Lähtötiedot!$C$11+Katelaskelma!$F$31-Katelaskelma!$F$46</f>
        <v>29414.11969137023</v>
      </c>
      <c r="H900" s="1"/>
    </row>
    <row r="901" spans="1:8" x14ac:dyDescent="0.25">
      <c r="A901" s="5"/>
      <c r="C901" s="2">
        <v>900</v>
      </c>
      <c r="D901" s="5">
        <v>718.7939870304142</v>
      </c>
      <c r="E901" s="5"/>
      <c r="F901" s="2">
        <f>D901*Katelaskelma!$D$41</f>
        <v>8580.9159579340503</v>
      </c>
      <c r="G901" s="5">
        <f>D901*Lähtötiedot!$C$11+Katelaskelma!$F$31-Katelaskelma!$F$46</f>
        <v>60936.90424303434</v>
      </c>
      <c r="H901" s="1"/>
    </row>
    <row r="902" spans="1:8" x14ac:dyDescent="0.25">
      <c r="A902" s="5"/>
      <c r="C902" s="2">
        <v>901</v>
      </c>
      <c r="D902" s="5">
        <v>445.46094319896685</v>
      </c>
      <c r="E902" s="5"/>
      <c r="F902" s="2">
        <f>D902*Katelaskelma!$D$41</f>
        <v>5317.8838236033116</v>
      </c>
      <c r="G902" s="5">
        <f>D902*Lähtötiedot!$C$11+Katelaskelma!$F$31-Katelaskelma!$F$46</f>
        <v>22123.612018968823</v>
      </c>
      <c r="H902" s="1"/>
    </row>
    <row r="903" spans="1:8" x14ac:dyDescent="0.25">
      <c r="A903" s="5"/>
      <c r="C903" s="2">
        <v>902</v>
      </c>
      <c r="D903" s="5">
        <v>811.80201165925041</v>
      </c>
      <c r="E903" s="5"/>
      <c r="F903" s="2">
        <f>D903*Katelaskelma!$D$41</f>
        <v>9691.2397185023674</v>
      </c>
      <c r="G903" s="5">
        <f>D903*Lähtötiedot!$C$11+Katelaskelma!$F$31-Katelaskelma!$F$46</f>
        <v>74144.0437403291</v>
      </c>
      <c r="H903" s="1"/>
    </row>
    <row r="904" spans="1:8" x14ac:dyDescent="0.25">
      <c r="A904" s="5"/>
      <c r="C904" s="2">
        <v>903</v>
      </c>
      <c r="D904" s="5">
        <v>188.8357855358384</v>
      </c>
      <c r="E904" s="5"/>
      <c r="F904" s="2">
        <f>D904*Katelaskelma!$D$41</f>
        <v>2254.3093497872078</v>
      </c>
      <c r="G904" s="5">
        <f>D904*Lähtötiedot!$C$11+Katelaskelma!$F$31-Katelaskelma!$F$46</f>
        <v>-14317.160369195408</v>
      </c>
      <c r="H904" s="1"/>
    </row>
    <row r="905" spans="1:8" x14ac:dyDescent="0.25">
      <c r="A905" s="5"/>
      <c r="C905" s="2">
        <v>904</v>
      </c>
      <c r="D905" s="5">
        <v>372.97172691454608</v>
      </c>
      <c r="E905" s="5"/>
      <c r="F905" s="2">
        <f>D905*Katelaskelma!$D$41</f>
        <v>4452.5122651086249</v>
      </c>
      <c r="G905" s="5">
        <f>D905*Lähtötiedot!$C$11+Katelaskelma!$F$31-Katelaskelma!$F$46</f>
        <v>11830.143306581071</v>
      </c>
      <c r="H905" s="1"/>
    </row>
    <row r="906" spans="1:8" x14ac:dyDescent="0.25">
      <c r="A906" s="5"/>
      <c r="C906" s="2">
        <v>905</v>
      </c>
      <c r="D906" s="5">
        <v>245.58469416834515</v>
      </c>
      <c r="E906" s="5"/>
      <c r="F906" s="2">
        <f>D906*Katelaskelma!$D$41</f>
        <v>2931.7741372874598</v>
      </c>
      <c r="G906" s="5">
        <f>D906*Lähtötiedot!$C$11+Katelaskelma!$F$31-Katelaskelma!$F$46</f>
        <v>-6258.8153433794505</v>
      </c>
      <c r="H906" s="1"/>
    </row>
    <row r="907" spans="1:8" x14ac:dyDescent="0.25">
      <c r="A907" s="5"/>
      <c r="C907" s="2">
        <v>906</v>
      </c>
      <c r="D907" s="5">
        <v>669.1472067621155</v>
      </c>
      <c r="E907" s="5"/>
      <c r="F907" s="2">
        <f>D907*Katelaskelma!$D$41</f>
        <v>7988.2359178236647</v>
      </c>
      <c r="G907" s="5">
        <f>D907*Lähtötiedot!$C$11+Katelaskelma!$F$31-Katelaskelma!$F$46</f>
        <v>53887.061444935942</v>
      </c>
      <c r="H907" s="1"/>
    </row>
    <row r="908" spans="1:8" x14ac:dyDescent="0.25">
      <c r="A908" s="5"/>
      <c r="C908" s="2">
        <v>907</v>
      </c>
      <c r="D908" s="5">
        <v>601.41976516122736</v>
      </c>
      <c r="E908" s="5"/>
      <c r="F908" s="2">
        <f>D908*Katelaskelma!$D$41</f>
        <v>7179.7101163988445</v>
      </c>
      <c r="G908" s="5">
        <f>D908*Lähtötiedot!$C$11+Katelaskelma!$F$31-Katelaskelma!$F$46</f>
        <v>44269.764737609832</v>
      </c>
      <c r="H908" s="1"/>
    </row>
    <row r="909" spans="1:8" x14ac:dyDescent="0.25">
      <c r="A909" s="5"/>
      <c r="C909" s="2">
        <v>908</v>
      </c>
      <c r="D909" s="5">
        <v>-15.405560888047319</v>
      </c>
      <c r="E909" s="5"/>
      <c r="F909" s="2">
        <f>D909*Katelaskelma!$D$41</f>
        <v>-183.91058585688532</v>
      </c>
      <c r="G909" s="5">
        <f>D909*Lähtötiedot!$C$11+Katelaskelma!$F$31-Katelaskelma!$F$46</f>
        <v>-43319.431561387188</v>
      </c>
      <c r="H909" s="1"/>
    </row>
    <row r="910" spans="1:8" x14ac:dyDescent="0.25">
      <c r="A910" s="5"/>
      <c r="C910" s="2">
        <v>909</v>
      </c>
      <c r="D910" s="5">
        <v>787.5224394716995</v>
      </c>
      <c r="E910" s="5"/>
      <c r="F910" s="2">
        <f>D910*Katelaskelma!$D$41</f>
        <v>9401.3917617926909</v>
      </c>
      <c r="G910" s="5">
        <f>D910*Lähtötiedot!$C$11+Katelaskelma!$F$31-Katelaskelma!$F$46</f>
        <v>70696.344489696872</v>
      </c>
      <c r="H910" s="1"/>
    </row>
    <row r="911" spans="1:8" x14ac:dyDescent="0.25">
      <c r="A911" s="5"/>
      <c r="C911" s="2">
        <v>910</v>
      </c>
      <c r="D911" s="5">
        <v>651.67582302457072</v>
      </c>
      <c r="E911" s="5"/>
      <c r="F911" s="2">
        <f>D911*Katelaskelma!$D$41</f>
        <v>7779.6636728887006</v>
      </c>
      <c r="G911" s="5">
        <f>D911*Lähtötiedot!$C$11+Katelaskelma!$F$31-Katelaskelma!$F$46</f>
        <v>51406.12495420457</v>
      </c>
      <c r="H911" s="1"/>
    </row>
    <row r="912" spans="1:8" x14ac:dyDescent="0.25">
      <c r="A912" s="5"/>
      <c r="C912" s="2">
        <v>911</v>
      </c>
      <c r="D912" s="5">
        <v>423.47324248154911</v>
      </c>
      <c r="E912" s="5"/>
      <c r="F912" s="2">
        <f>D912*Katelaskelma!$D$41</f>
        <v>5055.3960797313184</v>
      </c>
      <c r="G912" s="5">
        <f>D912*Lähtötiedot!$C$11+Katelaskelma!$F$31-Katelaskelma!$F$46</f>
        <v>19001.358517095505</v>
      </c>
      <c r="H912" s="1"/>
    </row>
    <row r="913" spans="1:8" x14ac:dyDescent="0.25">
      <c r="A913" s="5"/>
      <c r="C913" s="2">
        <v>912</v>
      </c>
      <c r="D913" s="5">
        <v>1012.7105255190947</v>
      </c>
      <c r="E913" s="5"/>
      <c r="F913" s="2">
        <f>D913*Katelaskelma!$D$41</f>
        <v>12089.672515341841</v>
      </c>
      <c r="G913" s="5">
        <f>D913*Lähtötiedot!$C$11+Katelaskelma!$F$31-Katelaskelma!$F$46</f>
        <v>102673.05270842699</v>
      </c>
      <c r="H913" s="1"/>
    </row>
    <row r="914" spans="1:8" x14ac:dyDescent="0.25">
      <c r="A914" s="5"/>
      <c r="C914" s="2">
        <v>913</v>
      </c>
      <c r="D914" s="5">
        <v>522.05962656444149</v>
      </c>
      <c r="E914" s="5"/>
      <c r="F914" s="2">
        <f>D914*Katelaskelma!$D$41</f>
        <v>6232.3139333528625</v>
      </c>
      <c r="G914" s="5">
        <f>D914*Lähtötiedot!$C$11+Katelaskelma!$F$31-Katelaskelma!$F$46</f>
        <v>33000.625056866236</v>
      </c>
      <c r="H914" s="1"/>
    </row>
    <row r="915" spans="1:8" x14ac:dyDescent="0.25">
      <c r="A915" s="5"/>
      <c r="C915" s="2">
        <v>914</v>
      </c>
      <c r="D915" s="5">
        <v>1113.3367659045014</v>
      </c>
      <c r="E915" s="5"/>
      <c r="F915" s="2">
        <f>D915*Katelaskelma!$D$41</f>
        <v>13290.942041089151</v>
      </c>
      <c r="G915" s="5">
        <f>D915*Lähtötiedot!$C$11+Katelaskelma!$F$31-Katelaskelma!$F$46</f>
        <v>116961.97884315473</v>
      </c>
      <c r="H915" s="1"/>
    </row>
    <row r="916" spans="1:8" x14ac:dyDescent="0.25">
      <c r="A916" s="5"/>
      <c r="C916" s="2">
        <v>915</v>
      </c>
      <c r="D916" s="5">
        <v>587.5720711190545</v>
      </c>
      <c r="E916" s="5"/>
      <c r="F916" s="2">
        <f>D916*Katelaskelma!$D$41</f>
        <v>7014.3972438218498</v>
      </c>
      <c r="G916" s="5">
        <f>D916*Lähtötiedot!$C$11+Katelaskelma!$F$31-Katelaskelma!$F$46</f>
        <v>42303.392183621268</v>
      </c>
      <c r="H916" s="1"/>
    </row>
    <row r="917" spans="1:8" x14ac:dyDescent="0.25">
      <c r="A917" s="5"/>
      <c r="C917" s="2">
        <v>916</v>
      </c>
      <c r="D917" s="5">
        <v>765.36691977616397</v>
      </c>
      <c r="E917" s="5"/>
      <c r="F917" s="2">
        <f>D917*Katelaskelma!$D$41</f>
        <v>9136.9006058535997</v>
      </c>
      <c r="G917" s="5">
        <f>D917*Lähtötiedot!$C$11+Katelaskelma!$F$31-Katelaskelma!$F$46</f>
        <v>67550.260692930809</v>
      </c>
      <c r="H917" s="1"/>
    </row>
    <row r="918" spans="1:8" x14ac:dyDescent="0.25">
      <c r="A918" s="5"/>
      <c r="C918" s="2">
        <v>917</v>
      </c>
      <c r="D918" s="5">
        <v>415.64563619957318</v>
      </c>
      <c r="E918" s="5"/>
      <c r="F918" s="2">
        <f>D918*Katelaskelma!$D$41</f>
        <v>4961.9506240522496</v>
      </c>
      <c r="G918" s="5">
        <f>D918*Lähtötiedot!$C$11+Katelaskelma!$F$31-Katelaskelma!$F$46</f>
        <v>17889.838425054928</v>
      </c>
      <c r="H918" s="1"/>
    </row>
    <row r="919" spans="1:8" x14ac:dyDescent="0.25">
      <c r="A919" s="5"/>
      <c r="C919" s="2">
        <v>918</v>
      </c>
      <c r="D919" s="5">
        <v>920.26359901054752</v>
      </c>
      <c r="E919" s="5"/>
      <c r="F919" s="2">
        <f>D919*Katelaskelma!$D$41</f>
        <v>10986.047107710847</v>
      </c>
      <c r="G919" s="5">
        <f>D919*Lähtötiedot!$C$11+Katelaskelma!$F$31-Katelaskelma!$F$46</f>
        <v>89545.589144213271</v>
      </c>
      <c r="H919" s="1"/>
    </row>
    <row r="920" spans="1:8" x14ac:dyDescent="0.25">
      <c r="A920" s="5"/>
      <c r="C920" s="2">
        <v>919</v>
      </c>
      <c r="D920" s="5">
        <v>793.34420424614132</v>
      </c>
      <c r="E920" s="5"/>
      <c r="F920" s="2">
        <f>D920*Katelaskelma!$D$41</f>
        <v>9470.8916117604567</v>
      </c>
      <c r="G920" s="5">
        <f>D920*Lähtötiedot!$C$11+Katelaskelma!$F$31-Katelaskelma!$F$46</f>
        <v>71523.035087667609</v>
      </c>
      <c r="H920" s="1"/>
    </row>
    <row r="921" spans="1:8" x14ac:dyDescent="0.25">
      <c r="A921" s="5"/>
      <c r="C921" s="2">
        <v>920</v>
      </c>
      <c r="D921" s="5">
        <v>819.49943354614948</v>
      </c>
      <c r="E921" s="5"/>
      <c r="F921" s="2">
        <f>D921*Katelaskelma!$D$41</f>
        <v>9783.1310413236988</v>
      </c>
      <c r="G921" s="5">
        <f>D921*Lähtötiedot!$C$11+Katelaskelma!$F$31-Katelaskelma!$F$46</f>
        <v>75237.077648268751</v>
      </c>
      <c r="H921" s="1"/>
    </row>
    <row r="922" spans="1:8" x14ac:dyDescent="0.25">
      <c r="A922" s="5"/>
      <c r="C922" s="2">
        <v>921</v>
      </c>
      <c r="D922" s="5">
        <v>414.73634569221377</v>
      </c>
      <c r="E922" s="5"/>
      <c r="F922" s="2">
        <f>D922*Katelaskelma!$D$41</f>
        <v>4951.0955730003716</v>
      </c>
      <c r="G922" s="5">
        <f>D922*Lähtötiedot!$C$11+Katelaskelma!$F$31-Katelaskelma!$F$46</f>
        <v>17760.719173009886</v>
      </c>
      <c r="H922" s="1"/>
    </row>
    <row r="923" spans="1:8" x14ac:dyDescent="0.25">
      <c r="A923" s="5"/>
      <c r="C923" s="2">
        <v>922</v>
      </c>
      <c r="D923" s="5">
        <v>529.27980451945791</v>
      </c>
      <c r="E923" s="5"/>
      <c r="F923" s="2">
        <f>D923*Katelaskelma!$D$41</f>
        <v>6318.5079490948201</v>
      </c>
      <c r="G923" s="5">
        <f>D923*Lähtötiedot!$C$11+Katelaskelma!$F$31-Katelaskelma!$F$46</f>
        <v>34025.890326478548</v>
      </c>
      <c r="H923" s="1"/>
    </row>
    <row r="924" spans="1:8" x14ac:dyDescent="0.25">
      <c r="A924" s="5"/>
      <c r="C924" s="2">
        <v>923</v>
      </c>
      <c r="D924" s="5">
        <v>737.32254858597548</v>
      </c>
      <c r="E924" s="5"/>
      <c r="F924" s="2">
        <f>D924*Katelaskelma!$D$41</f>
        <v>8802.1087230356752</v>
      </c>
      <c r="G924" s="5">
        <f>D924*Lähtötiedot!$C$11+Katelaskelma!$F$31-Katelaskelma!$F$46</f>
        <v>63567.959983924055</v>
      </c>
      <c r="H924" s="1"/>
    </row>
    <row r="925" spans="1:8" x14ac:dyDescent="0.25">
      <c r="A925" s="5"/>
      <c r="C925" s="2">
        <v>924</v>
      </c>
      <c r="D925" s="5">
        <v>783.1921034887921</v>
      </c>
      <c r="E925" s="5"/>
      <c r="F925" s="2">
        <f>D925*Katelaskelma!$D$41</f>
        <v>9349.6964919248112</v>
      </c>
      <c r="G925" s="5">
        <f>D925*Lähtötiedot!$C$11+Katelaskelma!$F$31-Katelaskelma!$F$46</f>
        <v>70081.436780124001</v>
      </c>
      <c r="H925" s="1"/>
    </row>
    <row r="926" spans="1:8" x14ac:dyDescent="0.25">
      <c r="A926" s="5"/>
      <c r="C926" s="2">
        <v>925</v>
      </c>
      <c r="D926" s="5">
        <v>695.38257020356582</v>
      </c>
      <c r="E926" s="5"/>
      <c r="F926" s="2">
        <f>D926*Katelaskelma!$D$41</f>
        <v>8301.431983565677</v>
      </c>
      <c r="G926" s="5">
        <f>D926*Lähtötiedot!$C$11+Katelaskelma!$F$31-Katelaskelma!$F$46</f>
        <v>57612.483053621894</v>
      </c>
      <c r="H926" s="1"/>
    </row>
    <row r="927" spans="1:8" x14ac:dyDescent="0.25">
      <c r="A927" s="5"/>
      <c r="C927" s="2">
        <v>926</v>
      </c>
      <c r="D927" s="5">
        <v>849.95564638325254</v>
      </c>
      <c r="E927" s="5"/>
      <c r="F927" s="2">
        <f>D927*Katelaskelma!$D$41</f>
        <v>10146.71533316207</v>
      </c>
      <c r="G927" s="5">
        <f>D927*Lähtötiedot!$C$11+Katelaskelma!$F$31-Katelaskelma!$F$46</f>
        <v>79561.859871137392</v>
      </c>
      <c r="H927" s="1"/>
    </row>
    <row r="928" spans="1:8" x14ac:dyDescent="0.25">
      <c r="A928" s="5"/>
      <c r="C928" s="2">
        <v>927</v>
      </c>
      <c r="D928" s="5">
        <v>461.78631437678024</v>
      </c>
      <c r="E928" s="5"/>
      <c r="F928" s="2">
        <f>D928*Katelaskelma!$D$41</f>
        <v>5512.7750449915729</v>
      </c>
      <c r="G928" s="5">
        <f>D928*Lähtötiedot!$C$11+Katelaskelma!$F$31-Katelaskelma!$F$46</f>
        <v>24441.814726218319</v>
      </c>
      <c r="H928" s="1"/>
    </row>
    <row r="929" spans="1:8" x14ac:dyDescent="0.25">
      <c r="A929" s="5"/>
      <c r="C929" s="2">
        <v>928</v>
      </c>
      <c r="D929" s="5">
        <v>889.86223559568384</v>
      </c>
      <c r="E929" s="5"/>
      <c r="F929" s="2">
        <f>D929*Katelaskelma!$D$41</f>
        <v>10623.117604714715</v>
      </c>
      <c r="G929" s="5">
        <f>D929*Lähtötiedot!$C$11+Katelaskelma!$F$31-Katelaskelma!$F$46</f>
        <v>85228.595539302652</v>
      </c>
      <c r="H929" s="1"/>
    </row>
    <row r="930" spans="1:8" x14ac:dyDescent="0.25">
      <c r="A930" s="5"/>
      <c r="C930" s="2">
        <v>929</v>
      </c>
      <c r="D930" s="5">
        <v>916.60234954285784</v>
      </c>
      <c r="E930" s="5"/>
      <c r="F930" s="2">
        <f>D930*Katelaskelma!$D$41</f>
        <v>10942.339349229072</v>
      </c>
      <c r="G930" s="5">
        <f>D930*Lähtötiedot!$C$11+Katelaskelma!$F$31-Katelaskelma!$F$46</f>
        <v>89025.69171980134</v>
      </c>
      <c r="H930" s="1"/>
    </row>
    <row r="931" spans="1:8" x14ac:dyDescent="0.25">
      <c r="A931" s="5"/>
      <c r="C931" s="2">
        <v>930</v>
      </c>
      <c r="D931" s="5">
        <v>649.13764507163</v>
      </c>
      <c r="E931" s="5"/>
      <c r="F931" s="2">
        <f>D931*Katelaskelma!$D$41</f>
        <v>7749.3630692478082</v>
      </c>
      <c r="G931" s="5">
        <f>D931*Lähtötiedot!$C$11+Katelaskelma!$F$31-Katelaskelma!$F$46</f>
        <v>51045.703684887005</v>
      </c>
      <c r="H931" s="1"/>
    </row>
    <row r="932" spans="1:8" x14ac:dyDescent="0.25">
      <c r="A932" s="5"/>
      <c r="C932" s="2">
        <v>931</v>
      </c>
      <c r="D932" s="5">
        <v>1046.7829885531544</v>
      </c>
      <c r="E932" s="5"/>
      <c r="F932" s="2">
        <f>D932*Katelaskelma!$D$41</f>
        <v>12496.427367289023</v>
      </c>
      <c r="G932" s="5">
        <f>D932*Lähtötiedot!$C$11+Katelaskelma!$F$31-Katelaskelma!$F$46</f>
        <v>107511.34245926345</v>
      </c>
      <c r="H932" s="1"/>
    </row>
    <row r="933" spans="1:8" x14ac:dyDescent="0.25">
      <c r="A933" s="5"/>
      <c r="C933" s="2">
        <v>932</v>
      </c>
      <c r="D933" s="5">
        <v>706.79132741950502</v>
      </c>
      <c r="E933" s="5"/>
      <c r="F933" s="2">
        <f>D933*Katelaskelma!$D$41</f>
        <v>8437.6289866303468</v>
      </c>
      <c r="G933" s="5">
        <f>D933*Lähtötiedot!$C$11+Katelaskelma!$F$31-Katelaskelma!$F$46</f>
        <v>59232.526578285237</v>
      </c>
      <c r="H933" s="1"/>
    </row>
    <row r="934" spans="1:8" x14ac:dyDescent="0.25">
      <c r="A934" s="5"/>
      <c r="C934" s="2">
        <v>933</v>
      </c>
      <c r="D934" s="5">
        <v>1035.241217312089</v>
      </c>
      <c r="E934" s="5"/>
      <c r="F934" s="2">
        <f>D934*Katelaskelma!$D$41</f>
        <v>12358.642451426766</v>
      </c>
      <c r="G934" s="5">
        <f>D934*Lähtötiedot!$C$11+Katelaskelma!$F$31-Katelaskelma!$F$46</f>
        <v>105872.41094303218</v>
      </c>
      <c r="H934" s="1"/>
    </row>
    <row r="935" spans="1:8" x14ac:dyDescent="0.25">
      <c r="A935" s="5"/>
      <c r="C935" s="2">
        <v>934</v>
      </c>
      <c r="D935" s="5">
        <v>740.18432463739305</v>
      </c>
      <c r="E935" s="5"/>
      <c r="F935" s="2">
        <f>D935*Katelaskelma!$D$41</f>
        <v>8836.2724197703883</v>
      </c>
      <c r="G935" s="5">
        <f>D935*Lähtötiedot!$C$11+Katelaskelma!$F$31-Katelaskelma!$F$46</f>
        <v>63974.332183225342</v>
      </c>
      <c r="H935" s="1"/>
    </row>
    <row r="936" spans="1:8" x14ac:dyDescent="0.25">
      <c r="A936" s="5"/>
      <c r="C936" s="2">
        <v>935</v>
      </c>
      <c r="D936" s="5">
        <v>425.84901252974515</v>
      </c>
      <c r="E936" s="5"/>
      <c r="F936" s="2">
        <f>D936*Katelaskelma!$D$41</f>
        <v>5083.7578683477905</v>
      </c>
      <c r="G936" s="5">
        <f>D936*Lähtötiedot!$C$11+Katelaskelma!$F$31-Katelaskelma!$F$46</f>
        <v>19338.717863939353</v>
      </c>
      <c r="H936" s="1"/>
    </row>
    <row r="937" spans="1:8" x14ac:dyDescent="0.25">
      <c r="A937" s="5"/>
      <c r="C937" s="2">
        <v>936</v>
      </c>
      <c r="D937" s="5">
        <v>865.07811547700089</v>
      </c>
      <c r="E937" s="5"/>
      <c r="F937" s="2">
        <f>D937*Katelaskelma!$D$41</f>
        <v>10327.246387555017</v>
      </c>
      <c r="G937" s="5">
        <f>D937*Lähtötiedot!$C$11+Katelaskelma!$F$31-Katelaskelma!$F$46</f>
        <v>81709.250482449657</v>
      </c>
      <c r="H937" s="1"/>
    </row>
    <row r="938" spans="1:8" x14ac:dyDescent="0.25">
      <c r="A938" s="5"/>
      <c r="C938" s="2">
        <v>937</v>
      </c>
      <c r="D938" s="5">
        <v>621.04230077987609</v>
      </c>
      <c r="E938" s="5"/>
      <c r="F938" s="2">
        <f>D938*Katelaskelma!$D$41</f>
        <v>7413.9626728522244</v>
      </c>
      <c r="G938" s="5">
        <f>D938*Lähtötiedot!$C$11+Katelaskelma!$F$31-Katelaskelma!$F$46</f>
        <v>47056.164795457938</v>
      </c>
      <c r="H938" s="1"/>
    </row>
    <row r="939" spans="1:8" x14ac:dyDescent="0.25">
      <c r="A939" s="5"/>
      <c r="C939" s="2">
        <v>938</v>
      </c>
      <c r="D939" s="5">
        <v>365.11553815347526</v>
      </c>
      <c r="E939" s="5"/>
      <c r="F939" s="2">
        <f>D939*Katelaskelma!$D$41</f>
        <v>4358.7255936495021</v>
      </c>
      <c r="G939" s="5">
        <f>D939*Lähtötiedot!$C$11+Katelaskelma!$F$31-Katelaskelma!$F$46</f>
        <v>10714.56450250902</v>
      </c>
      <c r="H939" s="1"/>
    </row>
    <row r="940" spans="1:8" x14ac:dyDescent="0.25">
      <c r="A940" s="5"/>
      <c r="C940" s="2">
        <v>939</v>
      </c>
      <c r="D940" s="5">
        <v>754.82331149558854</v>
      </c>
      <c r="E940" s="5"/>
      <c r="F940" s="2">
        <f>D940*Katelaskelma!$D$41</f>
        <v>9011.0316946196945</v>
      </c>
      <c r="G940" s="5">
        <f>D940*Lähtötiedot!$C$11+Katelaskelma!$F$31-Katelaskelma!$F$46</f>
        <v>66053.068317089113</v>
      </c>
      <c r="H940" s="1"/>
    </row>
    <row r="941" spans="1:8" x14ac:dyDescent="0.25">
      <c r="A941" s="5"/>
      <c r="C941" s="2">
        <v>940</v>
      </c>
      <c r="D941" s="5">
        <v>819.13305015577384</v>
      </c>
      <c r="E941" s="5"/>
      <c r="F941" s="2">
        <f>D941*Katelaskelma!$D$41</f>
        <v>9778.7571801925205</v>
      </c>
      <c r="G941" s="5">
        <f>D941*Lähtötiedot!$C$11+Katelaskelma!$F$31-Katelaskelma!$F$46</f>
        <v>75185.051206835429</v>
      </c>
      <c r="H941" s="1"/>
    </row>
    <row r="942" spans="1:8" x14ac:dyDescent="0.25">
      <c r="A942" s="5"/>
      <c r="C942" s="2">
        <v>941</v>
      </c>
      <c r="D942" s="5">
        <v>294.71063900619384</v>
      </c>
      <c r="E942" s="5"/>
      <c r="F942" s="2">
        <f>D942*Katelaskelma!$D$41</f>
        <v>3518.2364778382398</v>
      </c>
      <c r="G942" s="5">
        <f>D942*Lähtötiedot!$C$11+Katelaskelma!$F$31-Katelaskelma!$F$46</f>
        <v>717.06882359506562</v>
      </c>
      <c r="H942" s="1"/>
    </row>
    <row r="943" spans="1:8" x14ac:dyDescent="0.25">
      <c r="A943" s="5"/>
      <c r="C943" s="2">
        <v>942</v>
      </c>
      <c r="D943" s="5">
        <v>796.43041126015737</v>
      </c>
      <c r="E943" s="5"/>
      <c r="F943" s="2">
        <f>D943*Katelaskelma!$D$41</f>
        <v>9507.734550758134</v>
      </c>
      <c r="G943" s="5">
        <f>D943*Lähtötiedot!$C$11+Katelaskelma!$F$31-Katelaskelma!$F$46</f>
        <v>71961.276483657886</v>
      </c>
      <c r="H943" s="1"/>
    </row>
    <row r="944" spans="1:8" x14ac:dyDescent="0.25">
      <c r="A944" s="5"/>
      <c r="C944" s="2">
        <v>943</v>
      </c>
      <c r="D944" s="5">
        <v>711.88729917791557</v>
      </c>
      <c r="E944" s="5"/>
      <c r="F944" s="2">
        <f>D944*Katelaskelma!$D$41</f>
        <v>8498.4643666862976</v>
      </c>
      <c r="G944" s="5">
        <f>D944*Lähtötiedot!$C$11+Katelaskelma!$F$31-Katelaskelma!$F$46</f>
        <v>59956.154567979538</v>
      </c>
      <c r="H944" s="1"/>
    </row>
    <row r="945" spans="1:8" x14ac:dyDescent="0.25">
      <c r="A945" s="5"/>
      <c r="C945" s="2">
        <v>944</v>
      </c>
      <c r="D945" s="5">
        <v>347.3878704679276</v>
      </c>
      <c r="E945" s="5"/>
      <c r="F945" s="2">
        <f>D945*Katelaskelma!$D$41</f>
        <v>4147.0938475794956</v>
      </c>
      <c r="G945" s="5">
        <f>D945*Lähtötiedot!$C$11+Katelaskelma!$F$31-Katelaskelma!$F$46</f>
        <v>8197.2356911612442</v>
      </c>
      <c r="H945" s="1"/>
    </row>
    <row r="946" spans="1:8" x14ac:dyDescent="0.25">
      <c r="A946" s="5"/>
      <c r="C946" s="2">
        <v>945</v>
      </c>
      <c r="D946" s="5">
        <v>1013.6567238036353</v>
      </c>
      <c r="E946" s="5"/>
      <c r="F946" s="2">
        <f>D946*Katelaskelma!$D$41</f>
        <v>12100.968169041906</v>
      </c>
      <c r="G946" s="5">
        <f>D946*Lähtötiedot!$C$11+Katelaskelma!$F$31-Katelaskelma!$F$46</f>
        <v>102807.41286483174</v>
      </c>
      <c r="H946" s="1"/>
    </row>
    <row r="947" spans="1:8" x14ac:dyDescent="0.25">
      <c r="A947" s="5"/>
      <c r="C947" s="2">
        <v>946</v>
      </c>
      <c r="D947" s="5">
        <v>556.48544330137997</v>
      </c>
      <c r="E947" s="5"/>
      <c r="F947" s="2">
        <f>D947*Katelaskelma!$D$41</f>
        <v>6643.2870988676832</v>
      </c>
      <c r="G947" s="5">
        <f>D947*Lähtötiedot!$C$11+Katelaskelma!$F$31-Katelaskelma!$F$46</f>
        <v>37889.091033511504</v>
      </c>
      <c r="H947" s="1"/>
    </row>
    <row r="948" spans="1:8" x14ac:dyDescent="0.25">
      <c r="A948" s="5"/>
      <c r="C948" s="2">
        <v>947</v>
      </c>
      <c r="D948" s="5">
        <v>948.11514171470913</v>
      </c>
      <c r="E948" s="5"/>
      <c r="F948" s="2">
        <f>D948*Katelaskelma!$D$41</f>
        <v>11318.537016579699</v>
      </c>
      <c r="G948" s="5">
        <f>D948*Lähtötiedot!$C$11+Katelaskelma!$F$31-Katelaskelma!$F$46</f>
        <v>93500.508208204235</v>
      </c>
      <c r="H948" s="1"/>
    </row>
    <row r="949" spans="1:8" x14ac:dyDescent="0.25">
      <c r="A949" s="5"/>
      <c r="C949" s="2">
        <v>948</v>
      </c>
      <c r="D949" s="5">
        <v>768.70874195253396</v>
      </c>
      <c r="E949" s="5"/>
      <c r="F949" s="2">
        <f>D949*Katelaskelma!$D$41</f>
        <v>9176.7950620666525</v>
      </c>
      <c r="G949" s="5">
        <f>D949*Lähtötiedot!$C$11+Katelaskelma!$F$31-Katelaskelma!$F$46</f>
        <v>68024.799441975367</v>
      </c>
      <c r="H949" s="1"/>
    </row>
    <row r="950" spans="1:8" x14ac:dyDescent="0.25">
      <c r="A950" s="5"/>
      <c r="C950" s="2">
        <v>949</v>
      </c>
      <c r="D950" s="5">
        <v>653.23848198215615</v>
      </c>
      <c r="E950" s="5"/>
      <c r="F950" s="2">
        <f>D950*Katelaskelma!$D$41</f>
        <v>7798.3185940871244</v>
      </c>
      <c r="G950" s="5">
        <f>D950*Lähtötiedot!$C$11+Katelaskelma!$F$31-Katelaskelma!$F$46</f>
        <v>51628.02252618171</v>
      </c>
      <c r="H950" s="1"/>
    </row>
    <row r="951" spans="1:8" x14ac:dyDescent="0.25">
      <c r="A951" s="5"/>
      <c r="C951" s="2">
        <v>950</v>
      </c>
      <c r="D951" s="5">
        <v>1322.2638196415594</v>
      </c>
      <c r="E951" s="5"/>
      <c r="F951" s="2">
        <f>D951*Katelaskelma!$D$41</f>
        <v>15785.099646473527</v>
      </c>
      <c r="G951" s="5">
        <f>D951*Lähtötiedot!$C$11+Katelaskelma!$F$31-Katelaskelma!$F$46</f>
        <v>146629.62047381696</v>
      </c>
      <c r="H951" s="1"/>
    </row>
    <row r="952" spans="1:8" x14ac:dyDescent="0.25">
      <c r="A952" s="5"/>
      <c r="C952" s="2">
        <v>951</v>
      </c>
      <c r="D952" s="5">
        <v>440.72676666774561</v>
      </c>
      <c r="E952" s="5"/>
      <c r="F952" s="2">
        <f>D952*Katelaskelma!$D$41</f>
        <v>5261.367531484254</v>
      </c>
      <c r="G952" s="5">
        <f>D952*Lähtötiedot!$C$11+Katelaskelma!$F$31-Katelaskelma!$F$46</f>
        <v>21451.358951535411</v>
      </c>
      <c r="H952" s="1"/>
    </row>
    <row r="953" spans="1:8" x14ac:dyDescent="0.25">
      <c r="A953" s="5"/>
      <c r="C953" s="2">
        <v>952</v>
      </c>
      <c r="D953" s="5">
        <v>660.55402415418689</v>
      </c>
      <c r="E953" s="5"/>
      <c r="F953" s="2">
        <f>D953*Katelaskelma!$D$41</f>
        <v>7885.6510616614005</v>
      </c>
      <c r="G953" s="5">
        <f>D953*Lähtötiedot!$C$11+Katelaskelma!$F$31-Katelaskelma!$F$46</f>
        <v>52666.829514610086</v>
      </c>
      <c r="H953" s="1"/>
    </row>
    <row r="954" spans="1:8" x14ac:dyDescent="0.25">
      <c r="A954" s="5"/>
      <c r="C954" s="2">
        <v>953</v>
      </c>
      <c r="D954" s="5">
        <v>1031.9676109577133</v>
      </c>
      <c r="E954" s="5"/>
      <c r="F954" s="2">
        <f>D954*Katelaskelma!$D$41</f>
        <v>12319.562351268571</v>
      </c>
      <c r="G954" s="5">
        <f>D954*Lähtötiedot!$C$11+Katelaskelma!$F$31-Katelaskelma!$F$46</f>
        <v>105407.55884071084</v>
      </c>
      <c r="H954" s="1"/>
    </row>
    <row r="955" spans="1:8" x14ac:dyDescent="0.25">
      <c r="A955" s="5"/>
      <c r="C955" s="2">
        <v>954</v>
      </c>
      <c r="D955" s="5">
        <v>933.34706724768989</v>
      </c>
      <c r="E955" s="5"/>
      <c r="F955" s="2">
        <f>D955*Katelaskelma!$D$41</f>
        <v>11142.236702235748</v>
      </c>
      <c r="G955" s="5">
        <f>D955*Lähtötiedot!$C$11+Katelaskelma!$F$31-Katelaskelma!$F$46</f>
        <v>91403.441633887502</v>
      </c>
      <c r="H955" s="1"/>
    </row>
    <row r="956" spans="1:8" x14ac:dyDescent="0.25">
      <c r="A956" s="5"/>
      <c r="C956" s="2">
        <v>955</v>
      </c>
      <c r="D956" s="5">
        <v>1195.0394919749331</v>
      </c>
      <c r="E956" s="5"/>
      <c r="F956" s="2">
        <f>D956*Katelaskelma!$D$41</f>
        <v>14266.303881330612</v>
      </c>
      <c r="G956" s="5">
        <f>D956*Lähtötiedot!$C$11+Katelaskelma!$F$31-Katelaskelma!$F$46</f>
        <v>128563.76594515605</v>
      </c>
      <c r="H956" s="1"/>
    </row>
    <row r="957" spans="1:8" x14ac:dyDescent="0.25">
      <c r="A957" s="5"/>
      <c r="C957" s="2">
        <v>956</v>
      </c>
      <c r="D957" s="5">
        <v>1023.8767789671012</v>
      </c>
      <c r="E957" s="5"/>
      <c r="F957" s="2">
        <f>D957*Katelaskelma!$D$41</f>
        <v>12222.974524166633</v>
      </c>
      <c r="G957" s="5">
        <f>D957*Lähtötiedot!$C$11+Katelaskelma!$F$31-Katelaskelma!$F$46</f>
        <v>104258.66069804391</v>
      </c>
      <c r="H957" s="1"/>
    </row>
    <row r="958" spans="1:8" x14ac:dyDescent="0.25">
      <c r="A958" s="5"/>
      <c r="C958" s="2">
        <v>957</v>
      </c>
      <c r="D958" s="5">
        <v>680.18798807893904</v>
      </c>
      <c r="E958" s="5"/>
      <c r="F958" s="2">
        <f>D958*Katelaskelma!$D$41</f>
        <v>8120.0400484911943</v>
      </c>
      <c r="G958" s="5">
        <f>D958*Lähtötiedot!$C$11+Katelaskelma!$F$31-Katelaskelma!$F$46</f>
        <v>55454.852391924884</v>
      </c>
      <c r="H958" s="1"/>
    </row>
    <row r="959" spans="1:8" x14ac:dyDescent="0.25">
      <c r="A959" s="5"/>
      <c r="C959" s="2">
        <v>958</v>
      </c>
      <c r="D959" s="5">
        <v>498.18630026024204</v>
      </c>
      <c r="E959" s="5"/>
      <c r="F959" s="2">
        <f>D959*Katelaskelma!$D$41</f>
        <v>5947.3157136279051</v>
      </c>
      <c r="G959" s="5">
        <f>D959*Lähtötiedot!$C$11+Katelaskelma!$F$31-Katelaskelma!$F$46</f>
        <v>29610.612721669895</v>
      </c>
      <c r="H959" s="1"/>
    </row>
    <row r="960" spans="1:8" x14ac:dyDescent="0.25">
      <c r="A960" s="5"/>
      <c r="C960" s="2">
        <v>959</v>
      </c>
      <c r="D960" s="5">
        <v>962.00311556496877</v>
      </c>
      <c r="E960" s="5"/>
      <c r="F960" s="2">
        <f>D960*Katelaskelma!$D$41</f>
        <v>11484.330746890942</v>
      </c>
      <c r="G960" s="5">
        <f>D960*Lähtötiedot!$C$11+Katelaskelma!$F$31-Katelaskelma!$F$46</f>
        <v>95472.600494941114</v>
      </c>
      <c r="H960" s="1"/>
    </row>
    <row r="961" spans="1:8" x14ac:dyDescent="0.25">
      <c r="A961" s="5"/>
      <c r="C961" s="2">
        <v>960</v>
      </c>
      <c r="D961" s="5">
        <v>412.11853317125571</v>
      </c>
      <c r="E961" s="5"/>
      <c r="F961" s="2">
        <f>D961*Katelaskelma!$D$41</f>
        <v>4919.8442970558244</v>
      </c>
      <c r="G961" s="5">
        <f>D961*Lähtötiedot!$C$11+Katelaskelma!$F$31-Katelaskelma!$F$46</f>
        <v>17388.989795033849</v>
      </c>
      <c r="H961" s="1"/>
    </row>
    <row r="962" spans="1:8" x14ac:dyDescent="0.25">
      <c r="A962" s="5"/>
      <c r="C962" s="2">
        <v>961</v>
      </c>
      <c r="D962" s="5">
        <v>358.64307891450363</v>
      </c>
      <c r="E962" s="5"/>
      <c r="F962" s="2">
        <f>D962*Katelaskelma!$D$41</f>
        <v>4281.4577954028546</v>
      </c>
      <c r="G962" s="5">
        <f>D962*Lähtötiedot!$C$11+Katelaskelma!$F$31-Katelaskelma!$F$46</f>
        <v>9795.4752905750502</v>
      </c>
      <c r="H962" s="1"/>
    </row>
    <row r="963" spans="1:8" x14ac:dyDescent="0.25">
      <c r="A963" s="5"/>
      <c r="C963" s="2">
        <v>962</v>
      </c>
      <c r="D963" s="5">
        <v>477.9742488108871</v>
      </c>
      <c r="E963" s="5"/>
      <c r="F963" s="2">
        <f>D963*Katelaskelma!$D$41</f>
        <v>5706.0255554549276</v>
      </c>
      <c r="G963" s="5">
        <f>D963*Lähtötiedot!$C$11+Katelaskelma!$F$31-Katelaskelma!$F$46</f>
        <v>26740.501415861509</v>
      </c>
      <c r="H963" s="1"/>
    </row>
    <row r="964" spans="1:8" x14ac:dyDescent="0.25">
      <c r="A964" s="5"/>
      <c r="C964" s="2">
        <v>963</v>
      </c>
      <c r="D964" s="5">
        <v>1413.667446104944</v>
      </c>
      <c r="E964" s="5"/>
      <c r="F964" s="2">
        <f>D964*Katelaskelma!$D$41</f>
        <v>16876.270205889341</v>
      </c>
      <c r="G964" s="5">
        <f>D964*Lähtötiedot!$C$11+Katelaskelma!$F$31-Katelaskelma!$F$46</f>
        <v>159608.9354316176</v>
      </c>
      <c r="H964" s="1"/>
    </row>
    <row r="965" spans="1:8" x14ac:dyDescent="0.25">
      <c r="A965" s="5"/>
      <c r="C965" s="2">
        <v>964</v>
      </c>
      <c r="D965" s="5">
        <v>618.12848793915123</v>
      </c>
      <c r="E965" s="5"/>
      <c r="F965" s="2">
        <f>D965*Katelaskelma!$D$41</f>
        <v>7379.1777643046371</v>
      </c>
      <c r="G965" s="5">
        <f>D965*Lähtötiedot!$C$11+Katelaskelma!$F$31-Katelaskelma!$F$46</f>
        <v>46642.403372075001</v>
      </c>
      <c r="H965" s="1"/>
    </row>
    <row r="966" spans="1:8" x14ac:dyDescent="0.25">
      <c r="A966" s="5"/>
      <c r="C966" s="2">
        <v>965</v>
      </c>
      <c r="D966" s="5">
        <v>565.9563553016917</v>
      </c>
      <c r="E966" s="5"/>
      <c r="F966" s="2">
        <f>D966*Katelaskelma!$D$41</f>
        <v>6756.3502315399737</v>
      </c>
      <c r="G966" s="5">
        <f>D966*Lähtötiedot!$C$11+Katelaskelma!$F$31-Katelaskelma!$F$46</f>
        <v>39233.960537555744</v>
      </c>
      <c r="H966" s="1"/>
    </row>
    <row r="967" spans="1:8" x14ac:dyDescent="0.25">
      <c r="A967" s="5"/>
      <c r="C967" s="2">
        <v>966</v>
      </c>
      <c r="D967" s="5">
        <v>451.82679807355345</v>
      </c>
      <c r="E967" s="5"/>
      <c r="F967" s="2">
        <f>D967*Katelaskelma!$D$41</f>
        <v>5393.8789858679638</v>
      </c>
      <c r="G967" s="5">
        <f>D967*Lähtötiedot!$C$11+Katelaskelma!$F$31-Katelaskelma!$F$46</f>
        <v>23027.563411160125</v>
      </c>
      <c r="H967" s="1"/>
    </row>
    <row r="968" spans="1:8" x14ac:dyDescent="0.25">
      <c r="A968" s="5"/>
      <c r="C968" s="2">
        <v>967</v>
      </c>
      <c r="D968" s="5">
        <v>1341.6125612150161</v>
      </c>
      <c r="E968" s="5"/>
      <c r="F968" s="2">
        <f>D968*Katelaskelma!$D$41</f>
        <v>16016.083667388259</v>
      </c>
      <c r="G968" s="5">
        <f>D968*Lähtötiedot!$C$11+Katelaskelma!$F$31-Katelaskelma!$F$46</f>
        <v>149377.14177724783</v>
      </c>
      <c r="H968" s="1"/>
    </row>
    <row r="969" spans="1:8" x14ac:dyDescent="0.25">
      <c r="A969" s="5"/>
      <c r="C969" s="2">
        <v>968</v>
      </c>
      <c r="D969" s="5">
        <v>1111.4780963841656</v>
      </c>
      <c r="E969" s="5"/>
      <c r="F969" s="2">
        <f>D969*Katelaskelma!$D$41</f>
        <v>13268.753365007613</v>
      </c>
      <c r="G969" s="5">
        <f>D969*Lähtötiedot!$C$11+Katelaskelma!$F$31-Katelaskelma!$F$46</f>
        <v>116698.04777126707</v>
      </c>
      <c r="H969" s="1"/>
    </row>
    <row r="970" spans="1:8" x14ac:dyDescent="0.25">
      <c r="A970" s="5"/>
      <c r="C970" s="2">
        <v>969</v>
      </c>
      <c r="D970" s="5">
        <v>659.4022642042612</v>
      </c>
      <c r="E970" s="5"/>
      <c r="F970" s="2">
        <f>D970*Katelaskelma!$D$41</f>
        <v>7871.9014261436387</v>
      </c>
      <c r="G970" s="5">
        <f>D970*Lähtötiedot!$C$11+Katelaskelma!$F$31-Katelaskelma!$F$46</f>
        <v>52503.279601720627</v>
      </c>
      <c r="H970" s="1"/>
    </row>
    <row r="971" spans="1:8" x14ac:dyDescent="0.25">
      <c r="A971" s="5"/>
      <c r="C971" s="2">
        <v>970</v>
      </c>
      <c r="D971" s="5">
        <v>800.5739142714549</v>
      </c>
      <c r="E971" s="5"/>
      <c r="F971" s="2">
        <f>D971*Katelaskelma!$D$41</f>
        <v>9557.1994207388652</v>
      </c>
      <c r="G971" s="5">
        <f>D971*Lähtötiedot!$C$11+Katelaskelma!$F$31-Katelaskelma!$F$46</f>
        <v>72549.653911262139</v>
      </c>
      <c r="H971" s="1"/>
    </row>
    <row r="972" spans="1:8" x14ac:dyDescent="0.25">
      <c r="A972" s="5"/>
      <c r="C972" s="2">
        <v>971</v>
      </c>
      <c r="D972" s="5">
        <v>596.36650502588077</v>
      </c>
      <c r="E972" s="5"/>
      <c r="F972" s="2">
        <f>D972*Katelaskelma!$D$41</f>
        <v>7119.3846249264843</v>
      </c>
      <c r="G972" s="5">
        <f>D972*Lähtötiedot!$C$11+Katelaskelma!$F$31-Katelaskelma!$F$46</f>
        <v>43552.201798390597</v>
      </c>
      <c r="H972" s="1"/>
    </row>
    <row r="973" spans="1:8" x14ac:dyDescent="0.25">
      <c r="A973" s="5"/>
      <c r="C973" s="2">
        <v>972</v>
      </c>
      <c r="D973" s="5">
        <v>665.66158032733779</v>
      </c>
      <c r="E973" s="5"/>
      <c r="F973" s="2">
        <f>D973*Katelaskelma!$D$41</f>
        <v>7946.6247357085376</v>
      </c>
      <c r="G973" s="5">
        <f>D973*Lähtötiedot!$C$11+Katelaskelma!$F$31-Katelaskelma!$F$46</f>
        <v>53392.102491197496</v>
      </c>
      <c r="H973" s="1"/>
    </row>
    <row r="974" spans="1:8" x14ac:dyDescent="0.25">
      <c r="A974" s="5"/>
      <c r="C974" s="2">
        <v>973</v>
      </c>
      <c r="D974" s="5">
        <v>1200.9996122662972</v>
      </c>
      <c r="E974" s="5"/>
      <c r="F974" s="2">
        <f>D974*Katelaskelma!$D$41</f>
        <v>14337.455410478293</v>
      </c>
      <c r="G974" s="5">
        <f>D974*Lähtötiedot!$C$11+Katelaskelma!$F$31-Katelaskelma!$F$46</f>
        <v>129410.10302652974</v>
      </c>
      <c r="H974" s="1"/>
    </row>
    <row r="975" spans="1:8" x14ac:dyDescent="0.25">
      <c r="A975" s="5"/>
      <c r="C975" s="2">
        <v>974</v>
      </c>
      <c r="D975" s="5">
        <v>571.63516179472731</v>
      </c>
      <c r="E975" s="5"/>
      <c r="F975" s="2">
        <f>D975*Katelaskelma!$D$41</f>
        <v>6824.143454824195</v>
      </c>
      <c r="G975" s="5">
        <f>D975*Lähtötiedot!$C$11+Katelaskelma!$F$31-Katelaskelma!$F$46</f>
        <v>40040.351059566805</v>
      </c>
      <c r="H975" s="1"/>
    </row>
    <row r="976" spans="1:8" x14ac:dyDescent="0.25">
      <c r="A976" s="5"/>
      <c r="C976" s="2">
        <v>975</v>
      </c>
      <c r="D976" s="5">
        <v>260.65501608172491</v>
      </c>
      <c r="E976" s="5"/>
      <c r="F976" s="2">
        <f>D976*Katelaskelma!$D$41</f>
        <v>3111.6826620262063</v>
      </c>
      <c r="G976" s="5">
        <f>D976*Lähtötiedot!$C$11+Katelaskelma!$F$31-Katelaskelma!$F$46</f>
        <v>-4118.8296316795313</v>
      </c>
      <c r="H976" s="1"/>
    </row>
    <row r="977" spans="1:8" x14ac:dyDescent="0.25">
      <c r="A977" s="5"/>
      <c r="C977" s="2">
        <v>976</v>
      </c>
      <c r="D977" s="5">
        <v>775.53965932964161</v>
      </c>
      <c r="E977" s="5"/>
      <c r="F977" s="2">
        <f>D977*Katelaskelma!$D$41</f>
        <v>9258.3421102976954</v>
      </c>
      <c r="G977" s="5">
        <f>D977*Lähtötiedot!$C$11+Katelaskelma!$F$31-Katelaskelma!$F$46</f>
        <v>68994.78970952463</v>
      </c>
      <c r="H977" s="1"/>
    </row>
    <row r="978" spans="1:8" x14ac:dyDescent="0.25">
      <c r="A978" s="5"/>
      <c r="C978" s="2">
        <v>977</v>
      </c>
      <c r="D978" s="5">
        <v>739.24086443541569</v>
      </c>
      <c r="E978" s="5"/>
      <c r="F978" s="2">
        <f>D978*Katelaskelma!$D$41</f>
        <v>8825.0094531222258</v>
      </c>
      <c r="G978" s="5">
        <f>D978*Lähtötiedot!$C$11+Katelaskelma!$F$31-Katelaskelma!$F$46</f>
        <v>63840.360834544554</v>
      </c>
      <c r="H978" s="1"/>
    </row>
    <row r="979" spans="1:8" x14ac:dyDescent="0.25">
      <c r="A979" s="5"/>
      <c r="C979" s="2">
        <v>978</v>
      </c>
      <c r="D979" s="5">
        <v>1092.7787008294147</v>
      </c>
      <c r="E979" s="5"/>
      <c r="F979" s="2">
        <f>D979*Katelaskelma!$D$41</f>
        <v>13045.521194713048</v>
      </c>
      <c r="G979" s="5">
        <f>D979*Lähtötiedot!$C$11+Katelaskelma!$F$31-Katelaskelma!$F$46</f>
        <v>114042.73360249243</v>
      </c>
      <c r="H979" s="1"/>
    </row>
    <row r="980" spans="1:8" x14ac:dyDescent="0.25">
      <c r="A980" s="5"/>
      <c r="C980" s="2">
        <v>979</v>
      </c>
      <c r="D980" s="5">
        <v>236.09829835959027</v>
      </c>
      <c r="E980" s="5"/>
      <c r="F980" s="2">
        <f>D980*Katelaskelma!$D$41</f>
        <v>2818.5261599150795</v>
      </c>
      <c r="G980" s="5">
        <f>D980*Lähtötiedot!$C$11+Katelaskelma!$F$31-Katelaskelma!$F$46</f>
        <v>-7605.8835482226568</v>
      </c>
      <c r="H980" s="1"/>
    </row>
    <row r="981" spans="1:8" x14ac:dyDescent="0.25">
      <c r="A981" s="5"/>
      <c r="C981" s="2">
        <v>980</v>
      </c>
      <c r="D981" s="5">
        <v>744.29049780364198</v>
      </c>
      <c r="E981" s="5"/>
      <c r="F981" s="2">
        <f>D981*Katelaskelma!$D$41</f>
        <v>8885.2916484841298</v>
      </c>
      <c r="G981" s="5">
        <f>D981*Lähtötiedot!$C$11+Katelaskelma!$F$31-Katelaskelma!$F$46</f>
        <v>64557.408772832685</v>
      </c>
      <c r="H981" s="1"/>
    </row>
    <row r="982" spans="1:8" x14ac:dyDescent="0.25">
      <c r="A982" s="5"/>
      <c r="C982" s="2">
        <v>981</v>
      </c>
      <c r="D982" s="5">
        <v>915.81590492478813</v>
      </c>
      <c r="E982" s="5"/>
      <c r="F982" s="2">
        <f>D982*Katelaskelma!$D$41</f>
        <v>10932.950824429212</v>
      </c>
      <c r="G982" s="5">
        <f>D982*Lähtötiedot!$C$11+Katelaskelma!$F$31-Katelaskelma!$F$46</f>
        <v>88914.016584035446</v>
      </c>
      <c r="H982" s="1"/>
    </row>
    <row r="983" spans="1:8" x14ac:dyDescent="0.25">
      <c r="A983" s="5"/>
      <c r="C983" s="2">
        <v>982</v>
      </c>
      <c r="D983" s="5">
        <v>497.4367579201201</v>
      </c>
      <c r="E983" s="5"/>
      <c r="F983" s="2">
        <f>D983*Katelaskelma!$D$41</f>
        <v>5938.3677258267398</v>
      </c>
      <c r="G983" s="5">
        <f>D983*Lähtötiedot!$C$11+Katelaskelma!$F$31-Katelaskelma!$F$46</f>
        <v>29504.177709372598</v>
      </c>
      <c r="H983" s="1"/>
    </row>
    <row r="984" spans="1:8" x14ac:dyDescent="0.25">
      <c r="A984" s="5"/>
      <c r="C984" s="2">
        <v>983</v>
      </c>
      <c r="D984" s="5">
        <v>763.18789565746215</v>
      </c>
      <c r="E984" s="5"/>
      <c r="F984" s="2">
        <f>D984*Katelaskelma!$D$41</f>
        <v>9110.8875573720179</v>
      </c>
      <c r="G984" s="5">
        <f>D984*Lähtötiedot!$C$11+Katelaskelma!$F$31-Katelaskelma!$F$46</f>
        <v>67240.839268075157</v>
      </c>
      <c r="H984" s="1"/>
    </row>
    <row r="985" spans="1:8" x14ac:dyDescent="0.25">
      <c r="A985" s="5"/>
      <c r="C985" s="2">
        <v>984</v>
      </c>
      <c r="D985" s="5">
        <v>505.63579966716753</v>
      </c>
      <c r="E985" s="5"/>
      <c r="F985" s="2">
        <f>D985*Katelaskelma!$D$41</f>
        <v>6036.2473539767589</v>
      </c>
      <c r="G985" s="5">
        <f>D985*Lähtötiedot!$C$11+Katelaskelma!$F$31-Katelaskelma!$F$46</f>
        <v>30668.441637453332</v>
      </c>
      <c r="H985" s="1"/>
    </row>
    <row r="986" spans="1:8" x14ac:dyDescent="0.25">
      <c r="A986" s="5"/>
      <c r="C986" s="2">
        <v>985</v>
      </c>
      <c r="D986" s="5">
        <v>985.36156149558451</v>
      </c>
      <c r="E986" s="5"/>
      <c r="F986" s="2">
        <f>D986*Katelaskelma!$D$41</f>
        <v>11763.182358138602</v>
      </c>
      <c r="G986" s="5">
        <f>D986*Lähtötiedot!$C$11+Katelaskelma!$F$31-Katelaskelma!$F$46</f>
        <v>98789.499817088537</v>
      </c>
      <c r="H986" s="1"/>
    </row>
    <row r="987" spans="1:8" x14ac:dyDescent="0.25">
      <c r="A987" s="5"/>
      <c r="C987" s="2">
        <v>986</v>
      </c>
      <c r="D987" s="5">
        <v>643.41103080077232</v>
      </c>
      <c r="E987" s="5"/>
      <c r="F987" s="2">
        <f>D987*Katelaskelma!$D$41</f>
        <v>7680.9991198153029</v>
      </c>
      <c r="G987" s="5">
        <f>D987*Lähtötiedot!$C$11+Katelaskelma!$F$31-Katelaskelma!$F$46</f>
        <v>50232.524458425207</v>
      </c>
      <c r="H987" s="1"/>
    </row>
    <row r="988" spans="1:8" x14ac:dyDescent="0.25">
      <c r="A988" s="5"/>
      <c r="C988" s="2">
        <v>987</v>
      </c>
      <c r="D988" s="5">
        <v>813.05105402708273</v>
      </c>
      <c r="E988" s="5"/>
      <c r="F988" s="2">
        <f>D988*Katelaskelma!$D$41</f>
        <v>9706.1507052101824</v>
      </c>
      <c r="G988" s="5">
        <f>D988*Lähtötiedot!$C$11+Katelaskelma!$F$31-Katelaskelma!$F$46</f>
        <v>74321.407756561268</v>
      </c>
      <c r="H988" s="1"/>
    </row>
    <row r="989" spans="1:8" x14ac:dyDescent="0.25">
      <c r="A989" s="5"/>
      <c r="C989" s="2">
        <v>988</v>
      </c>
      <c r="D989" s="5">
        <v>853.55306111253572</v>
      </c>
      <c r="E989" s="5"/>
      <c r="F989" s="2">
        <f>D989*Katelaskelma!$D$41</f>
        <v>10189.661036680465</v>
      </c>
      <c r="G989" s="5">
        <f>D989*Lähtötiedot!$C$11+Katelaskelma!$F$31-Katelaskelma!$F$46</f>
        <v>80072.692762695602</v>
      </c>
      <c r="H989" s="1"/>
    </row>
    <row r="990" spans="1:8" x14ac:dyDescent="0.25">
      <c r="A990" s="5"/>
      <c r="C990" s="2">
        <v>989</v>
      </c>
      <c r="D990" s="5">
        <v>588.62573941612413</v>
      </c>
      <c r="E990" s="5"/>
      <c r="F990" s="2">
        <f>D990*Katelaskelma!$D$41</f>
        <v>7026.9758675552603</v>
      </c>
      <c r="G990" s="5">
        <f>D990*Lähtötiedot!$C$11+Katelaskelma!$F$31-Katelaskelma!$F$46</f>
        <v>42453.013081805169</v>
      </c>
      <c r="H990" s="1"/>
    </row>
    <row r="991" spans="1:8" x14ac:dyDescent="0.25">
      <c r="A991" s="5"/>
      <c r="C991" s="2">
        <v>990</v>
      </c>
      <c r="D991" s="5">
        <v>529.60716039868953</v>
      </c>
      <c r="E991" s="5"/>
      <c r="F991" s="2">
        <f>D991*Katelaskelma!$D$41</f>
        <v>6322.4159023313614</v>
      </c>
      <c r="G991" s="5">
        <f>D991*Lähtötiedot!$C$11+Katelaskelma!$F$31-Katelaskelma!$F$46</f>
        <v>34072.374861329445</v>
      </c>
      <c r="H991" s="1"/>
    </row>
    <row r="992" spans="1:8" x14ac:dyDescent="0.25">
      <c r="A992" s="5"/>
      <c r="C992" s="2">
        <v>991</v>
      </c>
      <c r="D992" s="5">
        <v>895.58732039047004</v>
      </c>
      <c r="E992" s="5"/>
      <c r="F992" s="2">
        <f>D992*Katelaskelma!$D$41</f>
        <v>10691.46329536116</v>
      </c>
      <c r="G992" s="5">
        <f>D992*Lähtötiedot!$C$11+Katelaskelma!$F$31-Katelaskelma!$F$46</f>
        <v>86041.557580162276</v>
      </c>
      <c r="H992" s="1"/>
    </row>
    <row r="993" spans="1:8" x14ac:dyDescent="0.25">
      <c r="A993" s="5"/>
      <c r="C993" s="2">
        <v>992</v>
      </c>
      <c r="D993" s="5">
        <v>610.59964858700573</v>
      </c>
      <c r="E993" s="5"/>
      <c r="F993" s="2">
        <f>D993*Katelaskelma!$D$41</f>
        <v>7289.2989688399584</v>
      </c>
      <c r="G993" s="5">
        <f>D993*Lähtötiedot!$C$11+Katelaskelma!$F$31-Katelaskelma!$F$46</f>
        <v>45573.308184070338</v>
      </c>
      <c r="H993" s="1"/>
    </row>
    <row r="994" spans="1:8" x14ac:dyDescent="0.25">
      <c r="A994" s="5"/>
      <c r="C994" s="2">
        <v>993</v>
      </c>
      <c r="D994" s="5">
        <v>1025.0934433265868</v>
      </c>
      <c r="E994" s="5"/>
      <c r="F994" s="2">
        <f>D994*Katelaskelma!$D$41</f>
        <v>12237.498984312564</v>
      </c>
      <c r="G994" s="5">
        <f>D994*Lähtötiedot!$C$11+Katelaskelma!$F$31-Katelaskelma!$F$46</f>
        <v>104431.42703709088</v>
      </c>
      <c r="H994" s="1"/>
    </row>
    <row r="995" spans="1:8" x14ac:dyDescent="0.25">
      <c r="A995" s="5"/>
      <c r="C995" s="2">
        <v>994</v>
      </c>
      <c r="D995" s="5">
        <v>393.71374719332363</v>
      </c>
      <c r="E995" s="5"/>
      <c r="F995" s="2">
        <f>D995*Katelaskelma!$D$41</f>
        <v>4700.1291567652643</v>
      </c>
      <c r="G995" s="5">
        <f>D995*Lähtötiedot!$C$11+Katelaskelma!$F$31-Katelaskelma!$F$46</f>
        <v>14775.510186167492</v>
      </c>
      <c r="H995" s="1"/>
    </row>
    <row r="996" spans="1:8" x14ac:dyDescent="0.25">
      <c r="A996" s="5"/>
      <c r="C996" s="2">
        <v>995</v>
      </c>
      <c r="D996" s="5">
        <v>844.34529944768178</v>
      </c>
      <c r="E996" s="5"/>
      <c r="F996" s="2">
        <f>D996*Katelaskelma!$D$41</f>
        <v>10079.739375630934</v>
      </c>
      <c r="G996" s="5">
        <f>D996*Lähtötiedot!$C$11+Katelaskelma!$F$31-Katelaskelma!$F$46</f>
        <v>78765.190606286342</v>
      </c>
      <c r="H996" s="1"/>
    </row>
    <row r="997" spans="1:8" x14ac:dyDescent="0.25">
      <c r="A997" s="5"/>
      <c r="C997" s="2">
        <v>996</v>
      </c>
      <c r="D997" s="5">
        <v>1182.4379999717974</v>
      </c>
      <c r="E997" s="5"/>
      <c r="F997" s="2">
        <f>D997*Katelaskelma!$D$41</f>
        <v>14115.868087800651</v>
      </c>
      <c r="G997" s="5">
        <f>D997*Lähtötiedot!$C$11+Katelaskelma!$F$31-Katelaskelma!$F$46</f>
        <v>126774.35408071076</v>
      </c>
      <c r="H997" s="1"/>
    </row>
    <row r="998" spans="1:8" x14ac:dyDescent="0.25">
      <c r="A998" s="5"/>
      <c r="C998" s="2">
        <v>997</v>
      </c>
      <c r="D998" s="5">
        <v>655.05657998629454</v>
      </c>
      <c r="E998" s="5"/>
      <c r="F998" s="2">
        <f>D998*Katelaskelma!$D$41</f>
        <v>7820.022930041926</v>
      </c>
      <c r="G998" s="5">
        <f>D998*Lähtötiedot!$C$11+Katelaskelma!$F$31-Katelaskelma!$F$46</f>
        <v>51886.192442769359</v>
      </c>
      <c r="H998" s="1"/>
    </row>
    <row r="999" spans="1:8" x14ac:dyDescent="0.25">
      <c r="A999" s="5"/>
      <c r="C999" s="2">
        <v>998</v>
      </c>
      <c r="D999" s="5">
        <v>833.5178134645073</v>
      </c>
      <c r="E999" s="5"/>
      <c r="F999" s="2">
        <f>D999*Katelaskelma!$D$41</f>
        <v>9950.4815508108186</v>
      </c>
      <c r="G999" s="5">
        <f>D999*Lähtötiedot!$C$11+Katelaskelma!$F$31-Katelaskelma!$F$46</f>
        <v>77227.687596675562</v>
      </c>
      <c r="H999" s="1"/>
    </row>
    <row r="1000" spans="1:8" x14ac:dyDescent="0.25">
      <c r="A1000" s="5"/>
      <c r="C1000" s="2">
        <v>999</v>
      </c>
      <c r="D1000" s="5">
        <v>1019.8228192547688</v>
      </c>
      <c r="E1000" s="5"/>
      <c r="F1000" s="2">
        <f>D1000*Katelaskelma!$D$41</f>
        <v>12174.578616276402</v>
      </c>
      <c r="G1000" s="5">
        <f>D1000*Lähtötiedot!$C$11+Katelaskelma!$F$31-Katelaskelma!$F$46</f>
        <v>103682.9984188927</v>
      </c>
      <c r="H1000" s="1"/>
    </row>
    <row r="1001" spans="1:8" x14ac:dyDescent="0.25">
      <c r="A1001" s="5"/>
      <c r="C1001" s="2">
        <v>1000</v>
      </c>
      <c r="D1001" s="5">
        <v>799.41765785650728</v>
      </c>
      <c r="E1001" s="5"/>
      <c r="F1001" s="2">
        <f>D1001*Katelaskelma!$D$41</f>
        <v>9543.3961067135515</v>
      </c>
      <c r="G1001" s="5">
        <f>D1001*Lähtötiedot!$C$11+Katelaskelma!$F$31-Katelaskelma!$F$46</f>
        <v>72385.465500339575</v>
      </c>
      <c r="H1001" s="1"/>
    </row>
  </sheetData>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ul10"/>
  <dimension ref="A1:T66"/>
  <sheetViews>
    <sheetView topLeftCell="A31" workbookViewId="0">
      <selection activeCell="B66" sqref="B66:D66"/>
    </sheetView>
  </sheetViews>
  <sheetFormatPr defaultRowHeight="13.2" x14ac:dyDescent="0.25"/>
  <cols>
    <col min="2" max="2" width="19.5546875" customWidth="1"/>
    <col min="3" max="5" width="16.6640625" customWidth="1"/>
  </cols>
  <sheetData>
    <row r="1" spans="1:20" x14ac:dyDescent="0.25">
      <c r="A1" s="13" t="s">
        <v>198</v>
      </c>
    </row>
    <row r="3" spans="1:20" x14ac:dyDescent="0.25">
      <c r="A3" s="11" t="s">
        <v>199</v>
      </c>
    </row>
    <row r="4" spans="1:20" x14ac:dyDescent="0.25">
      <c r="A4" s="23" t="s">
        <v>200</v>
      </c>
    </row>
    <row r="5" spans="1:20" x14ac:dyDescent="0.25">
      <c r="A5" s="11"/>
    </row>
    <row r="6" spans="1:20" x14ac:dyDescent="0.25">
      <c r="B6" s="11" t="s">
        <v>88</v>
      </c>
      <c r="C6" s="19" t="s">
        <v>89</v>
      </c>
      <c r="D6" s="19" t="s">
        <v>89</v>
      </c>
    </row>
    <row r="7" spans="1:20" x14ac:dyDescent="0.25">
      <c r="C7" s="19" t="s">
        <v>91</v>
      </c>
      <c r="D7" s="19" t="s">
        <v>90</v>
      </c>
      <c r="F7" s="11"/>
    </row>
    <row r="8" spans="1:20" x14ac:dyDescent="0.25">
      <c r="C8" s="19"/>
      <c r="D8" s="19"/>
    </row>
    <row r="9" spans="1:20" x14ac:dyDescent="0.25">
      <c r="C9" s="19"/>
      <c r="D9" s="19"/>
      <c r="F9" s="12"/>
      <c r="G9" s="12"/>
      <c r="H9" s="12"/>
      <c r="I9" s="12"/>
      <c r="J9" s="12"/>
      <c r="K9" s="12"/>
      <c r="L9" s="12"/>
      <c r="M9" s="12"/>
      <c r="N9" s="12"/>
      <c r="O9" s="12"/>
      <c r="P9" s="12"/>
      <c r="Q9" s="12"/>
      <c r="R9" s="12"/>
      <c r="S9" s="92"/>
      <c r="T9" s="92"/>
    </row>
    <row r="10" spans="1:20" x14ac:dyDescent="0.25">
      <c r="B10" s="12">
        <v>16.399999999999999</v>
      </c>
      <c r="C10" s="12">
        <v>166.46341463414637</v>
      </c>
      <c r="D10" s="12">
        <f>C10-19</f>
        <v>147.46341463414637</v>
      </c>
      <c r="F10" s="12"/>
      <c r="G10" s="12"/>
      <c r="H10" s="12"/>
      <c r="I10" s="12"/>
      <c r="J10" s="12"/>
      <c r="K10" s="12"/>
      <c r="L10" s="12"/>
      <c r="M10" s="12"/>
      <c r="N10" s="12"/>
      <c r="O10" s="12"/>
      <c r="P10" s="12"/>
      <c r="Q10" s="12"/>
      <c r="R10" s="12"/>
      <c r="S10" s="92"/>
      <c r="T10" s="92"/>
    </row>
    <row r="11" spans="1:20" x14ac:dyDescent="0.25">
      <c r="B11" s="12">
        <v>34.9</v>
      </c>
      <c r="C11" s="12">
        <v>105.15759312320917</v>
      </c>
      <c r="D11" s="12">
        <f>C11-14</f>
        <v>91.157593123209168</v>
      </c>
      <c r="F11" s="12"/>
      <c r="G11" s="12"/>
      <c r="H11" s="12"/>
      <c r="I11" s="12"/>
      <c r="J11" s="12"/>
      <c r="K11" s="12"/>
      <c r="L11" s="12"/>
      <c r="M11" s="12"/>
      <c r="N11" s="12"/>
      <c r="O11" s="12"/>
      <c r="P11" s="12"/>
      <c r="Q11" s="12"/>
      <c r="R11" s="12"/>
      <c r="S11" s="92"/>
      <c r="T11" s="92"/>
    </row>
    <row r="12" spans="1:20" x14ac:dyDescent="0.25">
      <c r="B12" s="12">
        <v>74.3</v>
      </c>
      <c r="C12" s="12">
        <v>58.277254374158815</v>
      </c>
      <c r="D12" s="12">
        <f>C12-11</f>
        <v>47.277254374158815</v>
      </c>
      <c r="F12" s="12"/>
      <c r="G12" s="12"/>
      <c r="H12" s="12"/>
      <c r="I12" s="12"/>
      <c r="J12" s="12"/>
      <c r="K12" s="12"/>
      <c r="L12" s="12"/>
      <c r="M12" s="12"/>
      <c r="N12" s="12"/>
      <c r="O12" s="12"/>
      <c r="P12" s="12"/>
      <c r="Q12" s="12"/>
      <c r="R12" s="12"/>
      <c r="S12" s="92"/>
      <c r="T12" s="92"/>
    </row>
    <row r="13" spans="1:20" x14ac:dyDescent="0.25">
      <c r="B13" s="12">
        <v>138.69999999999999</v>
      </c>
      <c r="C13" s="12">
        <v>45.710165825522715</v>
      </c>
      <c r="D13" s="12">
        <f>C13-8</f>
        <v>37.710165825522715</v>
      </c>
      <c r="F13" s="91"/>
      <c r="G13" s="92"/>
      <c r="H13" s="93"/>
      <c r="I13" s="92"/>
      <c r="J13" s="92"/>
      <c r="K13" s="92"/>
      <c r="L13" s="92"/>
      <c r="M13" s="92"/>
      <c r="N13" s="92"/>
      <c r="O13" s="92"/>
      <c r="P13" s="92"/>
      <c r="Q13" s="92"/>
      <c r="R13" s="92"/>
      <c r="S13" s="92"/>
      <c r="T13" s="92"/>
    </row>
    <row r="14" spans="1:20" x14ac:dyDescent="0.25">
      <c r="B14" s="35" t="s">
        <v>98</v>
      </c>
      <c r="C14" s="12">
        <v>96.031795334956442</v>
      </c>
      <c r="D14" s="12"/>
      <c r="F14" s="22"/>
      <c r="G14" s="329"/>
      <c r="H14" s="330"/>
      <c r="I14" s="329"/>
      <c r="J14" s="329"/>
      <c r="K14" s="329"/>
      <c r="L14" s="329"/>
      <c r="M14" s="329"/>
      <c r="N14" s="21"/>
      <c r="O14" s="21"/>
      <c r="P14" s="21"/>
      <c r="Q14" s="21"/>
      <c r="R14" s="21"/>
      <c r="S14" s="21"/>
      <c r="T14" s="21"/>
    </row>
    <row r="15" spans="1:20" x14ac:dyDescent="0.25">
      <c r="B15" s="35" t="s">
        <v>96</v>
      </c>
      <c r="C15" s="12">
        <v>33.157894736842103</v>
      </c>
      <c r="F15" s="22"/>
      <c r="G15" s="329"/>
      <c r="H15" s="330"/>
      <c r="I15" s="329"/>
      <c r="J15" s="329"/>
      <c r="K15" s="329"/>
      <c r="L15" s="329"/>
      <c r="M15" s="329"/>
      <c r="N15" s="21"/>
      <c r="O15" s="21"/>
      <c r="P15" s="21"/>
      <c r="Q15" s="21"/>
      <c r="R15" s="21"/>
      <c r="S15" s="21"/>
      <c r="T15" s="21"/>
    </row>
    <row r="16" spans="1:20" x14ac:dyDescent="0.25">
      <c r="B16" s="35" t="s">
        <v>99</v>
      </c>
      <c r="C16" s="12">
        <v>45.551020408163268</v>
      </c>
      <c r="F16" s="22"/>
      <c r="G16" s="329"/>
      <c r="H16" s="330"/>
      <c r="I16" s="331"/>
      <c r="J16" s="329"/>
      <c r="K16" s="329"/>
      <c r="L16" s="329"/>
      <c r="M16" s="329"/>
      <c r="N16" s="21"/>
      <c r="O16" s="21"/>
      <c r="P16" s="21"/>
      <c r="Q16" s="21"/>
      <c r="R16" s="21"/>
      <c r="S16" s="21"/>
      <c r="T16" s="21"/>
    </row>
    <row r="17" spans="2:20" ht="12.75" customHeight="1" x14ac:dyDescent="0.25">
      <c r="B17" s="35" t="s">
        <v>92</v>
      </c>
      <c r="C17" s="12">
        <v>38.273381294964025</v>
      </c>
      <c r="F17" s="22"/>
      <c r="G17" s="329"/>
      <c r="H17" s="330"/>
      <c r="I17" s="331"/>
      <c r="J17" s="329"/>
      <c r="K17" s="329"/>
      <c r="L17" s="329"/>
      <c r="M17" s="329"/>
      <c r="N17" s="21"/>
      <c r="O17" s="21"/>
      <c r="P17" s="21"/>
      <c r="Q17" s="21"/>
      <c r="R17" s="21"/>
      <c r="S17" s="21"/>
      <c r="T17" s="21"/>
    </row>
    <row r="18" spans="2:20" x14ac:dyDescent="0.25">
      <c r="B18" s="35" t="s">
        <v>94</v>
      </c>
      <c r="C18" s="12">
        <v>33.536000000000001</v>
      </c>
      <c r="F18" s="22"/>
      <c r="G18" s="329"/>
      <c r="H18" s="330"/>
      <c r="I18" s="331"/>
      <c r="J18" s="329"/>
      <c r="K18" s="329"/>
      <c r="L18" s="329"/>
      <c r="M18" s="329"/>
      <c r="N18" s="21"/>
      <c r="O18" s="21"/>
      <c r="P18" s="21"/>
      <c r="Q18" s="21"/>
      <c r="R18" s="21"/>
      <c r="S18" s="21"/>
      <c r="T18" s="21"/>
    </row>
    <row r="19" spans="2:20" x14ac:dyDescent="0.25">
      <c r="B19" s="35" t="s">
        <v>97</v>
      </c>
      <c r="C19" s="12">
        <v>23.472081218274113</v>
      </c>
      <c r="F19" s="22"/>
      <c r="G19" s="329"/>
      <c r="H19" s="330"/>
      <c r="I19" s="331"/>
      <c r="J19" s="329"/>
      <c r="K19" s="329"/>
      <c r="L19" s="329"/>
      <c r="M19" s="329"/>
      <c r="N19" s="21"/>
      <c r="O19" s="21"/>
      <c r="P19" s="21"/>
      <c r="Q19" s="21"/>
      <c r="R19" s="21"/>
      <c r="S19" s="21"/>
      <c r="T19" s="21"/>
    </row>
    <row r="20" spans="2:20" x14ac:dyDescent="0.25">
      <c r="B20" s="35" t="s">
        <v>93</v>
      </c>
      <c r="C20" s="12">
        <v>47.634782608695659</v>
      </c>
      <c r="F20" s="22"/>
      <c r="G20" s="329"/>
      <c r="H20" s="330"/>
      <c r="I20" s="331"/>
      <c r="J20" s="329"/>
      <c r="K20" s="329"/>
      <c r="L20" s="329"/>
      <c r="M20" s="329"/>
      <c r="N20" s="21"/>
      <c r="O20" s="21"/>
      <c r="P20" s="21"/>
      <c r="Q20" s="21"/>
      <c r="R20" s="21"/>
      <c r="S20" s="21"/>
      <c r="T20" s="21"/>
    </row>
    <row r="21" spans="2:20" x14ac:dyDescent="0.25">
      <c r="B21" s="35" t="s">
        <v>95</v>
      </c>
      <c r="C21" s="12">
        <v>25.832727272727272</v>
      </c>
      <c r="F21" s="22"/>
      <c r="G21" s="329"/>
      <c r="H21" s="330"/>
      <c r="I21" s="329"/>
      <c r="J21" s="329"/>
      <c r="K21" s="329"/>
      <c r="L21" s="329"/>
      <c r="M21" s="329"/>
      <c r="N21" s="21"/>
      <c r="O21" s="21"/>
      <c r="P21" s="21"/>
      <c r="Q21" s="21"/>
      <c r="R21" s="21"/>
      <c r="S21" s="21"/>
      <c r="T21" s="21"/>
    </row>
    <row r="22" spans="2:20" x14ac:dyDescent="0.25">
      <c r="F22" s="22"/>
      <c r="G22" s="329"/>
      <c r="H22" s="330"/>
      <c r="I22" s="329"/>
      <c r="J22" s="329"/>
      <c r="K22" s="329"/>
      <c r="L22" s="329"/>
      <c r="M22" s="329"/>
      <c r="N22" s="21"/>
      <c r="O22" s="21"/>
      <c r="P22" s="21"/>
      <c r="Q22" s="21"/>
      <c r="R22" s="21"/>
      <c r="S22" s="21"/>
      <c r="T22" s="21"/>
    </row>
    <row r="23" spans="2:20" x14ac:dyDescent="0.25">
      <c r="L23" t="s">
        <v>155</v>
      </c>
    </row>
    <row r="24" spans="2:20" x14ac:dyDescent="0.25">
      <c r="B24" s="11" t="s">
        <v>114</v>
      </c>
      <c r="F24" s="12"/>
      <c r="G24" s="12"/>
      <c r="H24" s="12"/>
      <c r="K24" s="12"/>
      <c r="L24" s="12"/>
      <c r="M24" s="12"/>
      <c r="N24" s="12"/>
      <c r="O24" s="12"/>
      <c r="P24" s="12"/>
      <c r="Q24" s="12"/>
      <c r="R24" s="12"/>
      <c r="S24" s="12"/>
      <c r="T24" s="12"/>
    </row>
    <row r="26" spans="2:20" x14ac:dyDescent="0.25">
      <c r="B26" s="323"/>
      <c r="C26" s="323"/>
      <c r="D26" s="323"/>
      <c r="E26" s="323"/>
      <c r="F26" s="323"/>
      <c r="G26" s="323"/>
      <c r="H26" s="323"/>
      <c r="I26" s="323"/>
    </row>
    <row r="27" spans="2:20" x14ac:dyDescent="0.25">
      <c r="B27" s="323" t="s">
        <v>100</v>
      </c>
      <c r="C27" s="323"/>
      <c r="D27" s="323"/>
      <c r="E27" s="323"/>
      <c r="F27" s="323"/>
      <c r="G27" s="323"/>
      <c r="H27" s="323"/>
      <c r="I27" s="323"/>
      <c r="L27" s="332" t="s">
        <v>100</v>
      </c>
      <c r="M27" s="332"/>
      <c r="N27" s="332"/>
      <c r="O27" s="332"/>
      <c r="P27" s="332"/>
      <c r="Q27" s="332"/>
      <c r="R27" s="332"/>
      <c r="S27" s="332"/>
    </row>
    <row r="28" spans="2:20" ht="13.8" thickBot="1" x14ac:dyDescent="0.3">
      <c r="B28" s="24" t="s">
        <v>101</v>
      </c>
      <c r="C28" s="24" t="s">
        <v>102</v>
      </c>
      <c r="D28" s="25"/>
      <c r="E28" s="25"/>
      <c r="F28" s="25"/>
      <c r="G28" s="25"/>
      <c r="H28" s="25"/>
      <c r="I28" s="25"/>
      <c r="L28" s="56" t="s">
        <v>101</v>
      </c>
      <c r="M28" s="56" t="s">
        <v>154</v>
      </c>
    </row>
    <row r="29" spans="2:20" ht="13.8" thickTop="1" x14ac:dyDescent="0.25">
      <c r="B29" s="324" t="s">
        <v>103</v>
      </c>
      <c r="C29" s="326" t="s">
        <v>104</v>
      </c>
      <c r="D29" s="327"/>
      <c r="E29" s="327"/>
      <c r="F29" s="327"/>
      <c r="G29" s="327"/>
      <c r="H29" s="327" t="s">
        <v>105</v>
      </c>
      <c r="I29" s="328"/>
      <c r="L29" s="333" t="s">
        <v>103</v>
      </c>
      <c r="M29" s="335" t="s">
        <v>104</v>
      </c>
      <c r="N29" s="336"/>
      <c r="O29" s="336"/>
      <c r="P29" s="336"/>
      <c r="Q29" s="336"/>
      <c r="R29" s="336" t="s">
        <v>105</v>
      </c>
      <c r="S29" s="337"/>
    </row>
    <row r="30" spans="2:20" ht="13.8" thickBot="1" x14ac:dyDescent="0.3">
      <c r="B30" s="325"/>
      <c r="C30" s="26" t="s">
        <v>106</v>
      </c>
      <c r="D30" s="27" t="s">
        <v>107</v>
      </c>
      <c r="E30" s="27" t="s">
        <v>108</v>
      </c>
      <c r="F30" s="27" t="s">
        <v>109</v>
      </c>
      <c r="G30" s="27" t="s">
        <v>110</v>
      </c>
      <c r="H30" s="27" t="s">
        <v>111</v>
      </c>
      <c r="I30" s="28" t="s">
        <v>112</v>
      </c>
      <c r="L30" s="334"/>
      <c r="M30" s="57" t="s">
        <v>106</v>
      </c>
      <c r="N30" s="58" t="s">
        <v>107</v>
      </c>
      <c r="O30" s="58" t="s">
        <v>108</v>
      </c>
      <c r="P30" s="58" t="s">
        <v>109</v>
      </c>
      <c r="Q30" s="58" t="s">
        <v>110</v>
      </c>
      <c r="R30" s="58" t="s">
        <v>111</v>
      </c>
      <c r="S30" s="59" t="s">
        <v>112</v>
      </c>
    </row>
    <row r="31" spans="2:20" ht="14.4" thickTop="1" thickBot="1" x14ac:dyDescent="0.3">
      <c r="B31" s="29" t="s">
        <v>113</v>
      </c>
      <c r="C31" s="30">
        <v>0.8119858580646373</v>
      </c>
      <c r="D31" s="31">
        <v>43.187488436044852</v>
      </c>
      <c r="E31" s="32">
        <v>1</v>
      </c>
      <c r="F31" s="32">
        <v>10</v>
      </c>
      <c r="G31" s="33">
        <v>6.2981446833954236E-5</v>
      </c>
      <c r="H31" s="31">
        <v>778.39721812093649</v>
      </c>
      <c r="I31" s="34">
        <v>-0.60763668744979804</v>
      </c>
      <c r="L31" s="60" t="s">
        <v>113</v>
      </c>
      <c r="M31" s="61">
        <v>0.59534719789844859</v>
      </c>
      <c r="N31" s="62">
        <v>489.92770066233356</v>
      </c>
      <c r="O31" s="63">
        <v>1</v>
      </c>
      <c r="P31" s="63">
        <v>333</v>
      </c>
      <c r="Q31" s="64">
        <v>2.1447412598732993E-67</v>
      </c>
      <c r="R31" s="62">
        <v>895.75526713705233</v>
      </c>
      <c r="S31" s="65">
        <v>-0.62587506332805098</v>
      </c>
    </row>
    <row r="32" spans="2:20" ht="13.8" thickTop="1" x14ac:dyDescent="0.25">
      <c r="L32" s="338" t="s">
        <v>148</v>
      </c>
      <c r="M32" s="338"/>
      <c r="N32" s="338"/>
      <c r="O32" s="338"/>
      <c r="P32" s="338"/>
      <c r="Q32" s="338"/>
      <c r="R32" s="338"/>
      <c r="S32" s="338"/>
    </row>
    <row r="34" spans="2:17" x14ac:dyDescent="0.25">
      <c r="B34" s="11"/>
      <c r="C34" s="11"/>
    </row>
    <row r="45" spans="2:17" x14ac:dyDescent="0.25">
      <c r="F45" s="12"/>
      <c r="G45" s="12"/>
      <c r="H45" s="12"/>
      <c r="I45" s="12"/>
      <c r="J45" s="12"/>
      <c r="K45" s="12"/>
      <c r="L45" s="12"/>
      <c r="M45" s="12"/>
      <c r="N45" s="12"/>
      <c r="O45" s="12"/>
      <c r="P45" s="12"/>
      <c r="Q45" s="12"/>
    </row>
    <row r="46" spans="2:17" x14ac:dyDescent="0.25">
      <c r="F46" s="12"/>
      <c r="G46" s="12"/>
      <c r="H46" s="12"/>
      <c r="I46" s="12"/>
      <c r="J46" s="12"/>
      <c r="K46" s="12"/>
      <c r="L46" s="12"/>
      <c r="M46" s="12"/>
      <c r="N46" s="12"/>
      <c r="O46" s="12"/>
      <c r="P46" s="12"/>
      <c r="Q46" s="12"/>
    </row>
    <row r="64" spans="2:4" x14ac:dyDescent="0.25">
      <c r="B64" s="97"/>
      <c r="C64" s="12"/>
      <c r="D64" s="229"/>
    </row>
    <row r="66" spans="2:4" x14ac:dyDescent="0.25">
      <c r="B66" s="99" t="s">
        <v>221</v>
      </c>
      <c r="C66" s="12">
        <f>778.397*POWER(Lähtötiedot!C11,-0.608)</f>
        <v>38.248097703087559</v>
      </c>
      <c r="D66" s="230" t="s">
        <v>222</v>
      </c>
    </row>
  </sheetData>
  <mergeCells count="38">
    <mergeCell ref="L27:S27"/>
    <mergeCell ref="L29:L30"/>
    <mergeCell ref="M29:Q29"/>
    <mergeCell ref="R29:S29"/>
    <mergeCell ref="L32:S32"/>
    <mergeCell ref="L14:L15"/>
    <mergeCell ref="M14:M15"/>
    <mergeCell ref="G14:G15"/>
    <mergeCell ref="H14:H15"/>
    <mergeCell ref="I14:I15"/>
    <mergeCell ref="J14:J15"/>
    <mergeCell ref="K14:K15"/>
    <mergeCell ref="M16:M18"/>
    <mergeCell ref="G19:G20"/>
    <mergeCell ref="H19:H20"/>
    <mergeCell ref="I19:I20"/>
    <mergeCell ref="J19:J20"/>
    <mergeCell ref="K19:K20"/>
    <mergeCell ref="L19:L20"/>
    <mergeCell ref="M19:M20"/>
    <mergeCell ref="G16:G18"/>
    <mergeCell ref="H16:H18"/>
    <mergeCell ref="I16:I18"/>
    <mergeCell ref="J16:J18"/>
    <mergeCell ref="K16:K18"/>
    <mergeCell ref="L16:L18"/>
    <mergeCell ref="M21:M22"/>
    <mergeCell ref="G21:G22"/>
    <mergeCell ref="H21:H22"/>
    <mergeCell ref="I21:I22"/>
    <mergeCell ref="J21:J22"/>
    <mergeCell ref="K21:K22"/>
    <mergeCell ref="L21:L22"/>
    <mergeCell ref="B26:I26"/>
    <mergeCell ref="B27:I27"/>
    <mergeCell ref="B29:B30"/>
    <mergeCell ref="C29:G29"/>
    <mergeCell ref="H29:I29"/>
  </mergeCell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ul6"/>
  <dimension ref="A1:H47"/>
  <sheetViews>
    <sheetView topLeftCell="A28" workbookViewId="0">
      <selection activeCell="C47" sqref="C47"/>
    </sheetView>
  </sheetViews>
  <sheetFormatPr defaultRowHeight="13.2" x14ac:dyDescent="0.25"/>
  <cols>
    <col min="2" max="2" width="18.33203125" customWidth="1"/>
  </cols>
  <sheetData>
    <row r="1" spans="1:8" x14ac:dyDescent="0.25">
      <c r="A1" s="13" t="s">
        <v>196</v>
      </c>
    </row>
    <row r="3" spans="1:8" x14ac:dyDescent="0.25">
      <c r="A3" t="s">
        <v>150</v>
      </c>
      <c r="B3" t="s">
        <v>151</v>
      </c>
    </row>
    <row r="5" spans="1:8" x14ac:dyDescent="0.25">
      <c r="A5" s="11" t="s">
        <v>152</v>
      </c>
    </row>
    <row r="7" spans="1:8" x14ac:dyDescent="0.25">
      <c r="A7" s="332" t="s">
        <v>100</v>
      </c>
      <c r="B7" s="332"/>
      <c r="C7" s="332"/>
      <c r="D7" s="332"/>
      <c r="E7" s="332"/>
      <c r="F7" s="332"/>
      <c r="G7" s="332"/>
      <c r="H7" s="332"/>
    </row>
    <row r="8" spans="1:8" ht="13.8" thickBot="1" x14ac:dyDescent="0.3">
      <c r="A8" s="44" t="s">
        <v>101</v>
      </c>
      <c r="B8" s="44" t="s">
        <v>149</v>
      </c>
    </row>
    <row r="9" spans="1:8" ht="13.8" thickTop="1" x14ac:dyDescent="0.25">
      <c r="A9" s="339" t="s">
        <v>103</v>
      </c>
      <c r="B9" s="341" t="s">
        <v>104</v>
      </c>
      <c r="C9" s="342"/>
      <c r="D9" s="342"/>
      <c r="E9" s="342"/>
      <c r="F9" s="342"/>
      <c r="G9" s="342" t="s">
        <v>105</v>
      </c>
      <c r="H9" s="343"/>
    </row>
    <row r="10" spans="1:8" ht="13.8" thickBot="1" x14ac:dyDescent="0.3">
      <c r="A10" s="340"/>
      <c r="B10" s="45" t="s">
        <v>106</v>
      </c>
      <c r="C10" s="46" t="s">
        <v>107</v>
      </c>
      <c r="D10" s="46" t="s">
        <v>108</v>
      </c>
      <c r="E10" s="46" t="s">
        <v>109</v>
      </c>
      <c r="F10" s="46" t="s">
        <v>110</v>
      </c>
      <c r="G10" s="46" t="s">
        <v>111</v>
      </c>
      <c r="H10" s="47" t="s">
        <v>112</v>
      </c>
    </row>
    <row r="11" spans="1:8" ht="14.4" thickTop="1" thickBot="1" x14ac:dyDescent="0.3">
      <c r="A11" s="48" t="s">
        <v>113</v>
      </c>
      <c r="B11" s="49">
        <v>0.54720984360656033</v>
      </c>
      <c r="C11" s="50">
        <v>402.44001630337721</v>
      </c>
      <c r="D11" s="51">
        <v>1</v>
      </c>
      <c r="E11" s="51">
        <v>333</v>
      </c>
      <c r="F11" s="52">
        <v>2.9998211890278835E-59</v>
      </c>
      <c r="G11" s="50">
        <v>2497.8339245754401</v>
      </c>
      <c r="H11" s="53">
        <v>-0.43897486339211977</v>
      </c>
    </row>
    <row r="12" spans="1:8" ht="13.8" thickTop="1" x14ac:dyDescent="0.25">
      <c r="A12" s="344" t="s">
        <v>148</v>
      </c>
      <c r="B12" s="344"/>
      <c r="C12" s="344"/>
      <c r="D12" s="344"/>
      <c r="E12" s="344"/>
      <c r="F12" s="344"/>
      <c r="G12" s="344"/>
      <c r="H12" s="344"/>
    </row>
    <row r="14" spans="1:8" x14ac:dyDescent="0.25">
      <c r="A14" s="11" t="s">
        <v>197</v>
      </c>
    </row>
    <row r="47" spans="2:4" x14ac:dyDescent="0.25">
      <c r="B47" s="97" t="s">
        <v>19</v>
      </c>
      <c r="C47" s="12">
        <f>(2497.834*POWER(Lähtötiedot!C11,-0.439))*(114.2/111.6)</f>
        <v>290.20901487002533</v>
      </c>
      <c r="D47" s="229" t="s">
        <v>181</v>
      </c>
    </row>
  </sheetData>
  <mergeCells count="5">
    <mergeCell ref="A7:H7"/>
    <mergeCell ref="A9:A10"/>
    <mergeCell ref="B9:F9"/>
    <mergeCell ref="G9:H9"/>
    <mergeCell ref="A12:H12"/>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ul11"/>
  <dimension ref="A1:N60"/>
  <sheetViews>
    <sheetView workbookViewId="0">
      <selection activeCell="A2" sqref="A2"/>
    </sheetView>
  </sheetViews>
  <sheetFormatPr defaultRowHeight="13.2" x14ac:dyDescent="0.25"/>
  <cols>
    <col min="1" max="1" width="13.44140625" customWidth="1"/>
    <col min="2" max="3" width="19.5546875" customWidth="1"/>
    <col min="4" max="4" width="19.5546875" style="35" customWidth="1"/>
    <col min="5" max="5" width="19.5546875" customWidth="1"/>
  </cols>
  <sheetData>
    <row r="1" spans="1:14" x14ac:dyDescent="0.25">
      <c r="A1" s="13" t="s">
        <v>195</v>
      </c>
    </row>
    <row r="3" spans="1:14" x14ac:dyDescent="0.25">
      <c r="C3" s="17"/>
      <c r="D3" s="70"/>
    </row>
    <row r="4" spans="1:14" x14ac:dyDescent="0.25">
      <c r="B4" s="11" t="s">
        <v>219</v>
      </c>
      <c r="C4" s="17">
        <v>26</v>
      </c>
      <c r="D4" s="71"/>
      <c r="E4" s="11" t="s">
        <v>167</v>
      </c>
    </row>
    <row r="5" spans="1:14" x14ac:dyDescent="0.25">
      <c r="C5" s="17">
        <v>28</v>
      </c>
      <c r="D5" s="71"/>
      <c r="E5" s="12">
        <f>Lähtötiedot!C34</f>
        <v>311.19164619164621</v>
      </c>
    </row>
    <row r="6" spans="1:14" x14ac:dyDescent="0.25">
      <c r="C6" s="17">
        <v>30</v>
      </c>
      <c r="D6" s="71"/>
    </row>
    <row r="7" spans="1:14" x14ac:dyDescent="0.25">
      <c r="C7" s="17">
        <v>32</v>
      </c>
    </row>
    <row r="8" spans="1:14" x14ac:dyDescent="0.25">
      <c r="B8" s="11"/>
      <c r="C8" s="17">
        <v>34</v>
      </c>
      <c r="E8" t="s">
        <v>160</v>
      </c>
    </row>
    <row r="9" spans="1:14" x14ac:dyDescent="0.25">
      <c r="B9" s="11"/>
      <c r="C9" s="17">
        <v>36</v>
      </c>
      <c r="D9" s="70"/>
      <c r="E9">
        <v>365</v>
      </c>
    </row>
    <row r="10" spans="1:14" x14ac:dyDescent="0.25">
      <c r="B10" s="11"/>
      <c r="C10" s="17">
        <v>38</v>
      </c>
      <c r="D10" s="70"/>
    </row>
    <row r="11" spans="1:14" x14ac:dyDescent="0.25">
      <c r="B11" s="11"/>
      <c r="C11" s="17">
        <v>40</v>
      </c>
      <c r="D11" s="70"/>
    </row>
    <row r="12" spans="1:14" x14ac:dyDescent="0.25">
      <c r="B12" s="11"/>
      <c r="C12" s="17"/>
      <c r="D12" s="70"/>
    </row>
    <row r="13" spans="1:14" x14ac:dyDescent="0.25">
      <c r="B13" s="11"/>
      <c r="C13" s="17" t="s">
        <v>218</v>
      </c>
      <c r="D13" s="70"/>
      <c r="G13" s="224"/>
      <c r="H13" s="224"/>
      <c r="I13" s="224"/>
      <c r="J13" s="224"/>
      <c r="K13" s="224"/>
      <c r="L13" s="224"/>
    </row>
    <row r="14" spans="1:14" x14ac:dyDescent="0.25">
      <c r="B14" s="11" t="s">
        <v>159</v>
      </c>
      <c r="C14">
        <f>IF(Lähtötiedot!C21&lt;=27,26,IF(Lähtötiedot!C21&gt;27,IF(Lähtötiedot!C21&lt;=29,28,IF(Lähtötiedot!C21&gt;29,IF(Lähtötiedot!C21&lt;=31,30,IF(Lähtötiedot!C21&gt;31,IF(Lähtötiedot!C21&lt;=33,32,IF(Lähtötiedot!C21&gt;33,IF(Lähtötiedot!C21&lt;=35,34,IF(Lähtötiedot!C21&gt;35,IF(Lähtötiedot!C21&lt;=37,36,IF(Lähtötiedot!C21&gt;37,IF(Lähtötiedot!C21&lt;=39,38,40)))))))))))))</f>
        <v>30</v>
      </c>
      <c r="D14"/>
      <c r="G14" s="224"/>
      <c r="H14" s="224"/>
      <c r="I14" s="224"/>
      <c r="J14" s="224"/>
      <c r="K14" s="224"/>
      <c r="L14" s="224"/>
    </row>
    <row r="15" spans="1:14" x14ac:dyDescent="0.25">
      <c r="C15" s="17"/>
      <c r="D15" s="70"/>
      <c r="G15" s="224"/>
      <c r="H15" s="224"/>
      <c r="I15" s="224"/>
      <c r="J15" s="224"/>
      <c r="K15" s="224"/>
      <c r="L15" s="224"/>
    </row>
    <row r="16" spans="1:14" x14ac:dyDescent="0.25">
      <c r="B16" s="17" t="s">
        <v>62</v>
      </c>
      <c r="C16" s="18"/>
      <c r="D16" s="72">
        <f>LOOKUP($C$14,C23:C30,D23:D30)</f>
        <v>11.317759281859118</v>
      </c>
      <c r="E16" s="69">
        <f>D16*$E$9*1.05</f>
        <v>4337.5312447725073</v>
      </c>
      <c r="H16" s="222"/>
      <c r="I16" s="14"/>
      <c r="J16" s="12"/>
      <c r="L16" s="12"/>
      <c r="M16" s="12"/>
      <c r="N16" s="12"/>
    </row>
    <row r="17" spans="2:14" x14ac:dyDescent="0.25">
      <c r="B17" s="17" t="s">
        <v>64</v>
      </c>
      <c r="C17" s="18"/>
      <c r="D17" s="72">
        <f>LOOKUP($C$14,C33:C40,D33:D40)</f>
        <v>7.9318838653101444</v>
      </c>
      <c r="E17" s="69">
        <f>D17*$E$9</f>
        <v>2895.1376108382028</v>
      </c>
      <c r="H17" s="14"/>
      <c r="I17" s="14"/>
      <c r="J17" s="12"/>
      <c r="L17" s="12"/>
      <c r="M17" s="12"/>
      <c r="N17" s="12"/>
    </row>
    <row r="18" spans="2:14" x14ac:dyDescent="0.25">
      <c r="B18" s="17" t="s">
        <v>83</v>
      </c>
      <c r="C18" s="18"/>
      <c r="D18" s="72">
        <f>LOOKUP($C$14,C43:C50,D43:D50)</f>
        <v>1.400334087011887</v>
      </c>
      <c r="E18" s="69">
        <f>D18*$E$9</f>
        <v>511.12194175933877</v>
      </c>
      <c r="H18" s="14"/>
      <c r="I18" s="14"/>
      <c r="J18" s="12"/>
      <c r="L18" s="12"/>
      <c r="M18" s="12"/>
      <c r="N18" s="12"/>
    </row>
    <row r="19" spans="2:14" x14ac:dyDescent="0.25">
      <c r="B19" s="17" t="s">
        <v>84</v>
      </c>
      <c r="C19" s="18"/>
      <c r="D19" s="72">
        <f>LOOKUP($C$14,C53:C60,D53:D60)</f>
        <v>0.2</v>
      </c>
      <c r="E19" s="69">
        <f>D19*$E$9</f>
        <v>73</v>
      </c>
      <c r="H19" s="14"/>
      <c r="I19" s="14"/>
      <c r="J19" s="12"/>
      <c r="L19" s="12"/>
      <c r="M19" s="12"/>
      <c r="N19" s="12"/>
    </row>
    <row r="20" spans="2:14" x14ac:dyDescent="0.25">
      <c r="B20" s="17"/>
      <c r="C20" s="18"/>
      <c r="D20" s="72"/>
      <c r="I20" s="12"/>
      <c r="J20" s="12"/>
      <c r="L20" s="12"/>
      <c r="M20" s="12"/>
      <c r="N20" s="12"/>
    </row>
    <row r="22" spans="2:14" x14ac:dyDescent="0.25">
      <c r="B22" s="17" t="s">
        <v>62</v>
      </c>
      <c r="C22" s="17" t="s">
        <v>218</v>
      </c>
      <c r="D22" s="68" t="s">
        <v>66</v>
      </c>
    </row>
    <row r="23" spans="2:14" x14ac:dyDescent="0.25">
      <c r="B23" s="17"/>
      <c r="C23" s="291">
        <v>26</v>
      </c>
      <c r="D23" s="225">
        <v>11.281636419497623</v>
      </c>
      <c r="E23" s="18"/>
    </row>
    <row r="24" spans="2:14" x14ac:dyDescent="0.25">
      <c r="B24" s="17"/>
      <c r="C24" s="291">
        <v>28</v>
      </c>
      <c r="D24" s="225">
        <v>11.319970003561117</v>
      </c>
      <c r="E24" s="18"/>
      <c r="F24" s="20"/>
      <c r="G24" s="224"/>
    </row>
    <row r="25" spans="2:14" x14ac:dyDescent="0.25">
      <c r="B25" s="17"/>
      <c r="C25" s="291">
        <v>30</v>
      </c>
      <c r="D25" s="225">
        <v>11.317759281859118</v>
      </c>
      <c r="E25" s="18"/>
      <c r="F25" s="20"/>
      <c r="G25" s="224"/>
    </row>
    <row r="26" spans="2:14" x14ac:dyDescent="0.25">
      <c r="B26" s="17"/>
      <c r="C26" s="291">
        <v>32</v>
      </c>
      <c r="D26" s="225">
        <v>11.271675603730651</v>
      </c>
      <c r="E26" s="225"/>
      <c r="F26" s="20"/>
      <c r="G26" s="224"/>
    </row>
    <row r="27" spans="2:14" x14ac:dyDescent="0.25">
      <c r="B27" s="17"/>
      <c r="C27" s="291">
        <v>34</v>
      </c>
      <c r="D27" s="225">
        <v>11.177314869161563</v>
      </c>
      <c r="E27" s="225"/>
      <c r="F27" s="20"/>
      <c r="G27" s="224"/>
    </row>
    <row r="28" spans="2:14" x14ac:dyDescent="0.25">
      <c r="B28" s="17"/>
      <c r="C28" s="291">
        <v>36</v>
      </c>
      <c r="D28" s="225">
        <v>11.032366857734784</v>
      </c>
      <c r="E28" s="225"/>
      <c r="F28" s="20"/>
      <c r="G28" s="224"/>
    </row>
    <row r="29" spans="2:14" x14ac:dyDescent="0.25">
      <c r="B29" s="17"/>
      <c r="C29" s="291">
        <v>38</v>
      </c>
      <c r="D29" s="296">
        <v>10.829890912047102</v>
      </c>
      <c r="E29" s="225"/>
      <c r="F29" s="20"/>
      <c r="G29" s="224"/>
    </row>
    <row r="30" spans="2:14" x14ac:dyDescent="0.25">
      <c r="B30" s="17"/>
      <c r="C30" s="291">
        <v>40</v>
      </c>
      <c r="D30" s="297">
        <v>10.554720206477043</v>
      </c>
      <c r="E30" s="225"/>
      <c r="F30" s="20"/>
      <c r="G30" s="224"/>
    </row>
    <row r="31" spans="2:14" x14ac:dyDescent="0.25">
      <c r="B31" s="17"/>
      <c r="C31" s="17"/>
      <c r="E31" s="70"/>
      <c r="F31" s="20"/>
      <c r="G31" s="224"/>
      <c r="H31" s="20"/>
      <c r="I31" s="224"/>
    </row>
    <row r="32" spans="2:14" x14ac:dyDescent="0.25">
      <c r="B32" s="17" t="s">
        <v>63</v>
      </c>
      <c r="C32" s="17" t="s">
        <v>218</v>
      </c>
      <c r="E32" s="70"/>
      <c r="F32" s="20"/>
      <c r="G32" s="224"/>
      <c r="H32" s="20"/>
      <c r="I32" s="224"/>
    </row>
    <row r="33" spans="2:9" x14ac:dyDescent="0.25">
      <c r="B33" s="17"/>
      <c r="C33" s="17">
        <v>26</v>
      </c>
      <c r="D33" s="225">
        <v>6.3732512841712081</v>
      </c>
      <c r="E33" s="18"/>
      <c r="F33" s="20"/>
      <c r="G33" s="224"/>
      <c r="H33" s="20"/>
      <c r="I33" s="224"/>
    </row>
    <row r="34" spans="2:9" x14ac:dyDescent="0.25">
      <c r="B34" s="17"/>
      <c r="C34" s="17">
        <v>28</v>
      </c>
      <c r="D34" s="225">
        <v>7.1489957773993682</v>
      </c>
      <c r="E34" s="18"/>
      <c r="H34" s="20"/>
      <c r="I34" s="224"/>
    </row>
    <row r="35" spans="2:9" x14ac:dyDescent="0.25">
      <c r="B35" s="17"/>
      <c r="C35" s="17">
        <v>30</v>
      </c>
      <c r="D35" s="225">
        <v>7.9318838653101444</v>
      </c>
      <c r="E35" s="18"/>
      <c r="H35" s="20"/>
      <c r="I35" s="224"/>
    </row>
    <row r="36" spans="2:9" x14ac:dyDescent="0.25">
      <c r="B36" s="17"/>
      <c r="C36" s="17">
        <v>32</v>
      </c>
      <c r="D36" s="225">
        <v>8.7188704138269042</v>
      </c>
      <c r="E36" s="18"/>
      <c r="H36" s="20"/>
      <c r="I36" s="224"/>
    </row>
    <row r="37" spans="2:9" x14ac:dyDescent="0.25">
      <c r="B37" s="17"/>
      <c r="C37" s="17">
        <v>34</v>
      </c>
      <c r="D37" s="225">
        <v>9.5072479832788304</v>
      </c>
      <c r="E37" s="18"/>
      <c r="H37" s="20"/>
      <c r="I37" s="224"/>
    </row>
    <row r="38" spans="2:9" x14ac:dyDescent="0.25">
      <c r="B38" s="17"/>
      <c r="C38" s="17">
        <v>36</v>
      </c>
      <c r="D38" s="225">
        <v>10.287393154744553</v>
      </c>
      <c r="E38" s="18"/>
      <c r="H38" s="20"/>
      <c r="I38" s="224"/>
    </row>
    <row r="39" spans="2:9" x14ac:dyDescent="0.25">
      <c r="B39" s="17"/>
      <c r="C39" s="17">
        <v>38</v>
      </c>
      <c r="D39" s="225">
        <v>11.055416169330936</v>
      </c>
      <c r="E39" s="18"/>
      <c r="H39" s="20"/>
      <c r="I39" s="224"/>
    </row>
    <row r="40" spans="2:9" x14ac:dyDescent="0.25">
      <c r="B40" s="17"/>
      <c r="C40" s="17">
        <v>40</v>
      </c>
      <c r="D40" s="225">
        <v>11.816451776705319</v>
      </c>
      <c r="E40" s="18"/>
      <c r="H40" s="20"/>
      <c r="I40" s="224"/>
    </row>
    <row r="41" spans="2:9" x14ac:dyDescent="0.25">
      <c r="B41" s="17"/>
      <c r="C41" s="17"/>
      <c r="E41" s="70"/>
    </row>
    <row r="42" spans="2:9" x14ac:dyDescent="0.25">
      <c r="B42" s="17" t="s">
        <v>83</v>
      </c>
      <c r="C42" s="17" t="s">
        <v>218</v>
      </c>
      <c r="E42" s="70"/>
    </row>
    <row r="43" spans="2:9" x14ac:dyDescent="0.25">
      <c r="B43" s="17"/>
      <c r="C43" s="17">
        <v>26</v>
      </c>
      <c r="D43" s="225">
        <v>1.1153442207789628</v>
      </c>
      <c r="E43" s="18"/>
    </row>
    <row r="44" spans="2:9" x14ac:dyDescent="0.25">
      <c r="B44" s="17"/>
      <c r="C44" s="17">
        <v>28</v>
      </c>
      <c r="D44" s="225">
        <v>1.2452516390480353</v>
      </c>
      <c r="E44" s="18"/>
    </row>
    <row r="45" spans="2:9" x14ac:dyDescent="0.25">
      <c r="B45" s="17"/>
      <c r="C45" s="17">
        <v>30</v>
      </c>
      <c r="D45" s="225">
        <v>1.400334087011887</v>
      </c>
      <c r="E45" s="18"/>
    </row>
    <row r="46" spans="2:9" x14ac:dyDescent="0.25">
      <c r="B46" s="17"/>
      <c r="C46" s="17">
        <v>32</v>
      </c>
      <c r="D46" s="225">
        <v>1.5858920129060889</v>
      </c>
      <c r="E46" s="18"/>
    </row>
    <row r="47" spans="2:9" x14ac:dyDescent="0.25">
      <c r="B47" s="17"/>
      <c r="C47" s="17">
        <v>34</v>
      </c>
      <c r="D47" s="225">
        <v>1.8079733162084051</v>
      </c>
      <c r="E47" s="18"/>
    </row>
    <row r="48" spans="2:9" x14ac:dyDescent="0.25">
      <c r="B48" s="17"/>
      <c r="C48" s="17">
        <v>36</v>
      </c>
      <c r="D48" s="225">
        <v>2.0771344262716207</v>
      </c>
      <c r="E48" s="18"/>
    </row>
    <row r="49" spans="2:5" x14ac:dyDescent="0.25">
      <c r="B49" s="17"/>
      <c r="C49" s="17">
        <v>38</v>
      </c>
      <c r="D49" s="225">
        <v>2.4029481533785595</v>
      </c>
      <c r="E49" s="18"/>
    </row>
    <row r="50" spans="2:5" x14ac:dyDescent="0.25">
      <c r="B50" s="17"/>
      <c r="C50" s="17">
        <v>40</v>
      </c>
      <c r="D50" s="225">
        <v>2.7939095654355093</v>
      </c>
      <c r="E50" s="18"/>
    </row>
    <row r="51" spans="2:5" x14ac:dyDescent="0.25">
      <c r="B51" s="17"/>
      <c r="C51" s="17"/>
      <c r="E51" s="70"/>
    </row>
    <row r="52" spans="2:5" x14ac:dyDescent="0.25">
      <c r="B52" s="17" t="s">
        <v>65</v>
      </c>
      <c r="C52" s="17" t="s">
        <v>218</v>
      </c>
      <c r="E52" s="70"/>
    </row>
    <row r="53" spans="2:5" x14ac:dyDescent="0.25">
      <c r="B53" s="17"/>
      <c r="C53" s="17">
        <v>26</v>
      </c>
      <c r="D53" s="225">
        <v>0.2</v>
      </c>
      <c r="E53" s="18"/>
    </row>
    <row r="54" spans="2:5" x14ac:dyDescent="0.25">
      <c r="B54" s="17"/>
      <c r="C54" s="17">
        <v>28</v>
      </c>
      <c r="D54" s="225">
        <v>0.2</v>
      </c>
      <c r="E54" s="18"/>
    </row>
    <row r="55" spans="2:5" x14ac:dyDescent="0.25">
      <c r="B55" s="17"/>
      <c r="C55" s="17">
        <v>30</v>
      </c>
      <c r="D55" s="225">
        <v>0.2</v>
      </c>
      <c r="E55" s="18"/>
    </row>
    <row r="56" spans="2:5" x14ac:dyDescent="0.25">
      <c r="C56" s="17">
        <v>32</v>
      </c>
      <c r="D56" s="225">
        <v>0.2</v>
      </c>
      <c r="E56" s="226"/>
    </row>
    <row r="57" spans="2:5" x14ac:dyDescent="0.25">
      <c r="C57" s="17">
        <v>34</v>
      </c>
      <c r="D57" s="225">
        <v>0.2</v>
      </c>
    </row>
    <row r="58" spans="2:5" x14ac:dyDescent="0.25">
      <c r="C58" s="17">
        <v>36</v>
      </c>
      <c r="D58" s="225">
        <v>0.2</v>
      </c>
    </row>
    <row r="59" spans="2:5" x14ac:dyDescent="0.25">
      <c r="C59" s="290">
        <v>38</v>
      </c>
      <c r="D59" s="292">
        <v>0.2</v>
      </c>
    </row>
    <row r="60" spans="2:5" x14ac:dyDescent="0.25">
      <c r="C60" s="290">
        <v>40</v>
      </c>
      <c r="D60" s="292">
        <v>0.2</v>
      </c>
    </row>
  </sheetData>
  <sheetProtection password="F5F2" sheet="1" objects="1" scenarios="1"/>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ul8"/>
  <dimension ref="A1:P96"/>
  <sheetViews>
    <sheetView zoomScale="85" zoomScaleNormal="85" zoomScaleSheetLayoutView="85" workbookViewId="0">
      <selection activeCell="E1" sqref="E1"/>
    </sheetView>
  </sheetViews>
  <sheetFormatPr defaultRowHeight="13.2" x14ac:dyDescent="0.25"/>
  <cols>
    <col min="2" max="2" width="84.88671875" customWidth="1"/>
    <col min="3" max="3" width="13.5546875" style="79" customWidth="1"/>
    <col min="4" max="4" width="9.6640625" customWidth="1"/>
  </cols>
  <sheetData>
    <row r="1" spans="1:4" x14ac:dyDescent="0.25">
      <c r="A1" s="118"/>
      <c r="B1" s="209"/>
      <c r="C1" s="209" t="s">
        <v>209</v>
      </c>
      <c r="D1" s="270"/>
    </row>
    <row r="2" spans="1:4" ht="22.8" x14ac:dyDescent="0.4">
      <c r="A2" s="122"/>
      <c r="B2" s="269" t="s">
        <v>208</v>
      </c>
      <c r="C2" s="269"/>
      <c r="D2" s="271"/>
    </row>
    <row r="3" spans="1:4" ht="36" customHeight="1" x14ac:dyDescent="0.25">
      <c r="A3" s="119"/>
      <c r="B3" s="120"/>
      <c r="C3" s="120"/>
      <c r="D3" s="272"/>
    </row>
    <row r="4" spans="1:4" x14ac:dyDescent="0.25">
      <c r="A4" s="122"/>
      <c r="B4" s="123"/>
      <c r="C4" s="124"/>
      <c r="D4" s="125"/>
    </row>
    <row r="5" spans="1:4" ht="15.6" x14ac:dyDescent="0.3">
      <c r="A5" s="122"/>
      <c r="B5" s="217" t="s">
        <v>226</v>
      </c>
      <c r="C5" s="219">
        <f>Lähtötiedot!D11</f>
        <v>13000</v>
      </c>
      <c r="D5" s="125"/>
    </row>
    <row r="6" spans="1:4" ht="15.6" x14ac:dyDescent="0.3">
      <c r="A6" s="122"/>
      <c r="B6" s="217" t="s">
        <v>225</v>
      </c>
      <c r="C6" s="234">
        <f>C5*Lähtötiedot!C11</f>
        <v>1846000</v>
      </c>
      <c r="D6" s="125"/>
    </row>
    <row r="7" spans="1:4" ht="15.6" x14ac:dyDescent="0.3">
      <c r="A7" s="122"/>
      <c r="B7" s="217"/>
      <c r="C7" s="234"/>
      <c r="D7" s="125"/>
    </row>
    <row r="8" spans="1:4" ht="46.8" x14ac:dyDescent="0.3">
      <c r="A8" s="122"/>
      <c r="B8" s="218" t="s">
        <v>215</v>
      </c>
      <c r="C8" s="221">
        <f ca="1">Laskenta!K74</f>
        <v>0.56184240938314145</v>
      </c>
      <c r="D8" s="125"/>
    </row>
    <row r="9" spans="1:4" ht="21" customHeight="1" x14ac:dyDescent="0.25">
      <c r="A9" s="122"/>
      <c r="B9" s="123"/>
      <c r="C9" s="124"/>
      <c r="D9" s="125"/>
    </row>
    <row r="10" spans="1:4" ht="22.8" x14ac:dyDescent="0.25">
      <c r="A10" s="122"/>
      <c r="B10" s="128" t="s">
        <v>210</v>
      </c>
      <c r="C10" s="127"/>
      <c r="D10" s="129"/>
    </row>
    <row r="11" spans="1:4" x14ac:dyDescent="0.25">
      <c r="A11" s="122"/>
      <c r="B11" s="126"/>
      <c r="C11" s="124"/>
      <c r="D11" s="125"/>
    </row>
    <row r="12" spans="1:4" x14ac:dyDescent="0.25">
      <c r="A12" s="122"/>
      <c r="B12" s="123"/>
      <c r="C12" s="124"/>
      <c r="D12" s="125"/>
    </row>
    <row r="13" spans="1:4" x14ac:dyDescent="0.25">
      <c r="A13" s="122"/>
      <c r="B13" s="126"/>
      <c r="C13" s="124"/>
      <c r="D13" s="125"/>
    </row>
    <row r="14" spans="1:4" x14ac:dyDescent="0.25">
      <c r="A14" s="122"/>
      <c r="B14" s="126"/>
      <c r="C14" s="124"/>
      <c r="D14" s="125"/>
    </row>
    <row r="15" spans="1:4" x14ac:dyDescent="0.25">
      <c r="A15" s="122"/>
      <c r="B15" s="123"/>
      <c r="C15" s="124"/>
      <c r="D15" s="125"/>
    </row>
    <row r="16" spans="1:4" x14ac:dyDescent="0.25">
      <c r="A16" s="122"/>
      <c r="B16" s="123"/>
      <c r="C16" s="124"/>
      <c r="D16" s="125"/>
    </row>
    <row r="17" spans="1:16" x14ac:dyDescent="0.25">
      <c r="A17" s="122"/>
      <c r="B17" s="123"/>
      <c r="C17" s="124"/>
      <c r="D17" s="125"/>
    </row>
    <row r="18" spans="1:16" x14ac:dyDescent="0.25">
      <c r="A18" s="122"/>
      <c r="B18" s="126"/>
      <c r="C18" s="124"/>
      <c r="D18" s="125"/>
    </row>
    <row r="19" spans="1:16" x14ac:dyDescent="0.25">
      <c r="A19" s="122"/>
      <c r="B19" s="123"/>
      <c r="C19" s="124"/>
      <c r="D19" s="125"/>
    </row>
    <row r="20" spans="1:16" x14ac:dyDescent="0.25">
      <c r="A20" s="122"/>
      <c r="B20" s="123"/>
      <c r="C20" s="124"/>
      <c r="D20" s="125"/>
    </row>
    <row r="21" spans="1:16" x14ac:dyDescent="0.25">
      <c r="A21" s="122"/>
      <c r="B21" s="123"/>
      <c r="C21" s="124"/>
      <c r="D21" s="125"/>
    </row>
    <row r="22" spans="1:16" x14ac:dyDescent="0.25">
      <c r="A22" s="122"/>
      <c r="B22" s="123"/>
      <c r="C22" s="124"/>
      <c r="D22" s="125"/>
      <c r="P22" s="11"/>
    </row>
    <row r="23" spans="1:16" x14ac:dyDescent="0.25">
      <c r="A23" s="122"/>
      <c r="B23" s="123"/>
      <c r="C23" s="124"/>
      <c r="D23" s="125"/>
    </row>
    <row r="24" spans="1:16" x14ac:dyDescent="0.25">
      <c r="A24" s="122"/>
      <c r="B24" s="123"/>
      <c r="C24" s="124"/>
      <c r="D24" s="125"/>
    </row>
    <row r="25" spans="1:16" x14ac:dyDescent="0.25">
      <c r="A25" s="122"/>
      <c r="B25" s="123"/>
      <c r="C25" s="124"/>
      <c r="D25" s="125"/>
    </row>
    <row r="26" spans="1:16" x14ac:dyDescent="0.25">
      <c r="A26" s="122"/>
      <c r="B26" s="123"/>
      <c r="C26" s="124"/>
      <c r="D26" s="125"/>
    </row>
    <row r="27" spans="1:16" x14ac:dyDescent="0.25">
      <c r="A27" s="122"/>
      <c r="B27" s="123"/>
      <c r="C27" s="124"/>
      <c r="D27" s="125"/>
    </row>
    <row r="28" spans="1:16" x14ac:dyDescent="0.25">
      <c r="A28" s="122"/>
      <c r="B28" s="123"/>
      <c r="C28" s="124"/>
      <c r="D28" s="125"/>
    </row>
    <row r="29" spans="1:16" x14ac:dyDescent="0.25">
      <c r="A29" s="122"/>
      <c r="B29" s="123"/>
      <c r="C29" s="124"/>
      <c r="D29" s="125"/>
    </row>
    <row r="30" spans="1:16" ht="60" customHeight="1" x14ac:dyDescent="0.4">
      <c r="A30" s="122"/>
      <c r="B30" s="200" t="s">
        <v>204</v>
      </c>
      <c r="C30" s="124"/>
      <c r="D30" s="125"/>
    </row>
    <row r="31" spans="1:16" x14ac:dyDescent="0.25">
      <c r="A31" s="122"/>
      <c r="B31" s="123"/>
      <c r="C31" s="124"/>
      <c r="D31" s="125"/>
    </row>
    <row r="32" spans="1:16" x14ac:dyDescent="0.25">
      <c r="A32" s="122"/>
      <c r="B32" s="123"/>
      <c r="C32" s="124"/>
      <c r="D32" s="125"/>
    </row>
    <row r="33" spans="1:4" x14ac:dyDescent="0.25">
      <c r="A33" s="122"/>
      <c r="B33" s="123"/>
      <c r="C33" s="124"/>
      <c r="D33" s="125"/>
    </row>
    <row r="34" spans="1:4" x14ac:dyDescent="0.25">
      <c r="A34" s="122"/>
      <c r="B34" s="123"/>
      <c r="C34" s="124"/>
      <c r="D34" s="125"/>
    </row>
    <row r="35" spans="1:4" x14ac:dyDescent="0.25">
      <c r="A35" s="122"/>
      <c r="B35" s="123"/>
      <c r="C35" s="124"/>
      <c r="D35" s="125"/>
    </row>
    <row r="36" spans="1:4" x14ac:dyDescent="0.25">
      <c r="A36" s="122"/>
      <c r="B36" s="123"/>
      <c r="C36" s="124"/>
      <c r="D36" s="125"/>
    </row>
    <row r="37" spans="1:4" x14ac:dyDescent="0.25">
      <c r="A37" s="122"/>
      <c r="B37" s="123"/>
      <c r="C37" s="124"/>
      <c r="D37" s="125"/>
    </row>
    <row r="38" spans="1:4" x14ac:dyDescent="0.25">
      <c r="A38" s="122"/>
      <c r="B38" s="123"/>
      <c r="C38" s="124"/>
      <c r="D38" s="125"/>
    </row>
    <row r="39" spans="1:4" x14ac:dyDescent="0.25">
      <c r="A39" s="122"/>
      <c r="B39" s="123"/>
      <c r="C39" s="124"/>
      <c r="D39" s="125"/>
    </row>
    <row r="40" spans="1:4" x14ac:dyDescent="0.25">
      <c r="A40" s="122"/>
      <c r="B40" s="123"/>
      <c r="C40" s="124"/>
      <c r="D40" s="125"/>
    </row>
    <row r="41" spans="1:4" x14ac:dyDescent="0.25">
      <c r="A41" s="122"/>
      <c r="B41" s="123"/>
      <c r="C41" s="124"/>
      <c r="D41" s="125"/>
    </row>
    <row r="42" spans="1:4" x14ac:dyDescent="0.25">
      <c r="A42" s="122"/>
      <c r="B42" s="123"/>
      <c r="C42" s="124"/>
      <c r="D42" s="125"/>
    </row>
    <row r="43" spans="1:4" x14ac:dyDescent="0.25">
      <c r="A43" s="122"/>
      <c r="B43" s="123"/>
      <c r="C43" s="124"/>
      <c r="D43" s="125"/>
    </row>
    <row r="44" spans="1:4" x14ac:dyDescent="0.25">
      <c r="A44" s="122"/>
      <c r="B44" s="123"/>
      <c r="C44" s="124"/>
      <c r="D44" s="125"/>
    </row>
    <row r="45" spans="1:4" x14ac:dyDescent="0.25">
      <c r="A45" s="122"/>
      <c r="B45" s="123"/>
      <c r="C45" s="124"/>
      <c r="D45" s="125"/>
    </row>
    <row r="46" spans="1:4" x14ac:dyDescent="0.25">
      <c r="A46" s="122"/>
      <c r="B46" s="123"/>
      <c r="C46" s="124"/>
      <c r="D46" s="125"/>
    </row>
    <row r="47" spans="1:4" x14ac:dyDescent="0.25">
      <c r="A47" s="122"/>
      <c r="B47" s="123"/>
      <c r="C47" s="124"/>
      <c r="D47" s="125"/>
    </row>
    <row r="48" spans="1:4" x14ac:dyDescent="0.25">
      <c r="A48" s="122"/>
      <c r="B48" s="123"/>
      <c r="C48" s="124"/>
      <c r="D48" s="125"/>
    </row>
    <row r="49" spans="1:4" x14ac:dyDescent="0.25">
      <c r="A49" s="122"/>
      <c r="B49" s="123"/>
      <c r="C49" s="124"/>
      <c r="D49" s="125"/>
    </row>
    <row r="50" spans="1:4" x14ac:dyDescent="0.25">
      <c r="A50" s="122"/>
      <c r="B50" s="123"/>
      <c r="C50" s="124"/>
      <c r="D50" s="125"/>
    </row>
    <row r="51" spans="1:4" ht="53.25" customHeight="1" x14ac:dyDescent="0.4">
      <c r="A51" s="122"/>
      <c r="B51" s="200" t="s">
        <v>205</v>
      </c>
      <c r="C51" s="124"/>
      <c r="D51" s="125"/>
    </row>
    <row r="52" spans="1:4" x14ac:dyDescent="0.25">
      <c r="A52" s="122"/>
      <c r="B52" s="123"/>
      <c r="C52" s="124"/>
      <c r="D52" s="125"/>
    </row>
    <row r="53" spans="1:4" x14ac:dyDescent="0.25">
      <c r="A53" s="122"/>
      <c r="B53" s="123"/>
      <c r="C53" s="124"/>
      <c r="D53" s="125"/>
    </row>
    <row r="54" spans="1:4" x14ac:dyDescent="0.25">
      <c r="A54" s="122"/>
      <c r="B54" s="123"/>
      <c r="C54" s="124"/>
      <c r="D54" s="125"/>
    </row>
    <row r="55" spans="1:4" x14ac:dyDescent="0.25">
      <c r="A55" s="122"/>
      <c r="B55" s="123"/>
      <c r="C55" s="124"/>
      <c r="D55" s="125"/>
    </row>
    <row r="56" spans="1:4" x14ac:dyDescent="0.25">
      <c r="A56" s="122"/>
      <c r="B56" s="123"/>
      <c r="C56" s="124"/>
      <c r="D56" s="125"/>
    </row>
    <row r="57" spans="1:4" x14ac:dyDescent="0.25">
      <c r="A57" s="122"/>
      <c r="B57" s="123"/>
      <c r="C57" s="124"/>
      <c r="D57" s="125"/>
    </row>
    <row r="58" spans="1:4" x14ac:dyDescent="0.25">
      <c r="A58" s="122"/>
      <c r="B58" s="123"/>
      <c r="C58" s="124"/>
      <c r="D58" s="125"/>
    </row>
    <row r="59" spans="1:4" x14ac:dyDescent="0.25">
      <c r="A59" s="122"/>
      <c r="B59" s="123"/>
      <c r="C59" s="124"/>
      <c r="D59" s="125"/>
    </row>
    <row r="60" spans="1:4" x14ac:dyDescent="0.25">
      <c r="A60" s="122"/>
      <c r="B60" s="123"/>
      <c r="C60" s="124"/>
      <c r="D60" s="125"/>
    </row>
    <row r="61" spans="1:4" x14ac:dyDescent="0.25">
      <c r="A61" s="122"/>
      <c r="B61" s="123"/>
      <c r="C61" s="124"/>
      <c r="D61" s="125"/>
    </row>
    <row r="62" spans="1:4" x14ac:dyDescent="0.25">
      <c r="A62" s="122"/>
      <c r="B62" s="130"/>
      <c r="C62" s="131"/>
      <c r="D62" s="125"/>
    </row>
    <row r="63" spans="1:4" x14ac:dyDescent="0.25">
      <c r="A63" s="122"/>
      <c r="B63" s="130">
        <v>1</v>
      </c>
      <c r="C63" s="131"/>
      <c r="D63" s="125"/>
    </row>
    <row r="64" spans="1:4" x14ac:dyDescent="0.25">
      <c r="A64" s="122"/>
      <c r="B64" s="130"/>
      <c r="C64" s="131"/>
      <c r="D64" s="125"/>
    </row>
    <row r="65" spans="1:4" x14ac:dyDescent="0.25">
      <c r="A65" s="122"/>
      <c r="B65" s="130">
        <v>1</v>
      </c>
      <c r="C65" s="131"/>
      <c r="D65" s="125"/>
    </row>
    <row r="66" spans="1:4" x14ac:dyDescent="0.25">
      <c r="A66" s="122"/>
      <c r="B66" s="130">
        <v>2</v>
      </c>
      <c r="C66" s="131"/>
      <c r="D66" s="125"/>
    </row>
    <row r="67" spans="1:4" x14ac:dyDescent="0.25">
      <c r="A67" s="122"/>
      <c r="B67" s="130">
        <v>3</v>
      </c>
      <c r="C67" s="131"/>
      <c r="D67" s="125"/>
    </row>
    <row r="68" spans="1:4" x14ac:dyDescent="0.25">
      <c r="A68" s="122"/>
      <c r="B68" s="130">
        <v>4</v>
      </c>
      <c r="C68" s="131"/>
      <c r="D68" s="125"/>
    </row>
    <row r="69" spans="1:4" x14ac:dyDescent="0.25">
      <c r="A69" s="122"/>
      <c r="B69" s="130">
        <v>5</v>
      </c>
      <c r="C69" s="131"/>
      <c r="D69" s="125"/>
    </row>
    <row r="70" spans="1:4" x14ac:dyDescent="0.25">
      <c r="A70" s="122"/>
      <c r="B70" s="130">
        <v>6</v>
      </c>
      <c r="C70" s="131"/>
      <c r="D70" s="125"/>
    </row>
    <row r="71" spans="1:4" x14ac:dyDescent="0.25">
      <c r="A71" s="122"/>
      <c r="B71" s="130">
        <v>7</v>
      </c>
      <c r="C71" s="131"/>
      <c r="D71" s="125"/>
    </row>
    <row r="72" spans="1:4" ht="91.2" x14ac:dyDescent="0.4">
      <c r="A72" s="122"/>
      <c r="B72" s="200" t="s">
        <v>234</v>
      </c>
      <c r="C72" s="131"/>
      <c r="D72" s="125"/>
    </row>
    <row r="73" spans="1:4" x14ac:dyDescent="0.25">
      <c r="A73" s="122"/>
      <c r="B73" s="130"/>
      <c r="C73" s="131"/>
      <c r="D73" s="125"/>
    </row>
    <row r="74" spans="1:4" x14ac:dyDescent="0.25">
      <c r="A74" s="122"/>
      <c r="B74" s="130"/>
      <c r="C74" s="131"/>
      <c r="D74" s="125"/>
    </row>
    <row r="75" spans="1:4" x14ac:dyDescent="0.25">
      <c r="A75" s="122"/>
      <c r="B75" s="130"/>
      <c r="C75" s="131"/>
      <c r="D75" s="125"/>
    </row>
    <row r="76" spans="1:4" x14ac:dyDescent="0.25">
      <c r="A76" s="122"/>
      <c r="B76" s="130"/>
      <c r="C76" s="131"/>
      <c r="D76" s="125"/>
    </row>
    <row r="77" spans="1:4" x14ac:dyDescent="0.25">
      <c r="A77" s="122"/>
      <c r="B77" s="130"/>
      <c r="C77" s="131"/>
      <c r="D77" s="125"/>
    </row>
    <row r="78" spans="1:4" x14ac:dyDescent="0.25">
      <c r="A78" s="122"/>
      <c r="B78" s="130"/>
      <c r="C78" s="131"/>
      <c r="D78" s="125"/>
    </row>
    <row r="79" spans="1:4" x14ac:dyDescent="0.25">
      <c r="A79" s="122"/>
      <c r="B79" s="130"/>
      <c r="C79" s="131"/>
      <c r="D79" s="125"/>
    </row>
    <row r="80" spans="1:4" x14ac:dyDescent="0.25">
      <c r="A80" s="122"/>
      <c r="B80" s="130"/>
      <c r="C80" s="131"/>
      <c r="D80" s="125"/>
    </row>
    <row r="81" spans="1:4" x14ac:dyDescent="0.25">
      <c r="A81" s="122"/>
      <c r="B81" s="130"/>
      <c r="C81" s="131"/>
      <c r="D81" s="125"/>
    </row>
    <row r="82" spans="1:4" x14ac:dyDescent="0.25">
      <c r="A82" s="122"/>
      <c r="B82" s="130"/>
      <c r="C82" s="131"/>
      <c r="D82" s="125"/>
    </row>
    <row r="83" spans="1:4" x14ac:dyDescent="0.25">
      <c r="A83" s="122"/>
      <c r="B83" s="130"/>
      <c r="C83" s="131"/>
      <c r="D83" s="125"/>
    </row>
    <row r="84" spans="1:4" x14ac:dyDescent="0.25">
      <c r="A84" s="122"/>
      <c r="B84" s="130"/>
      <c r="C84" s="131"/>
      <c r="D84" s="125"/>
    </row>
    <row r="85" spans="1:4" x14ac:dyDescent="0.25">
      <c r="A85" s="122"/>
      <c r="B85" s="130"/>
      <c r="C85" s="131"/>
      <c r="D85" s="125"/>
    </row>
    <row r="86" spans="1:4" x14ac:dyDescent="0.25">
      <c r="A86" s="122"/>
      <c r="B86" s="130"/>
      <c r="C86" s="131"/>
      <c r="D86" s="125"/>
    </row>
    <row r="87" spans="1:4" x14ac:dyDescent="0.25">
      <c r="A87" s="122"/>
      <c r="B87" s="130"/>
      <c r="C87" s="131"/>
      <c r="D87" s="125"/>
    </row>
    <row r="88" spans="1:4" x14ac:dyDescent="0.25">
      <c r="A88" s="122"/>
      <c r="B88" s="130"/>
      <c r="C88" s="131"/>
      <c r="D88" s="125"/>
    </row>
    <row r="89" spans="1:4" x14ac:dyDescent="0.25">
      <c r="A89" s="122"/>
      <c r="B89" s="130"/>
      <c r="C89" s="131"/>
      <c r="D89" s="125"/>
    </row>
    <row r="90" spans="1:4" x14ac:dyDescent="0.25">
      <c r="A90" s="122"/>
      <c r="B90" s="130"/>
      <c r="C90" s="131"/>
      <c r="D90" s="125"/>
    </row>
    <row r="91" spans="1:4" x14ac:dyDescent="0.25">
      <c r="A91" s="122"/>
      <c r="B91" s="130"/>
      <c r="C91" s="131"/>
      <c r="D91" s="125"/>
    </row>
    <row r="92" spans="1:4" x14ac:dyDescent="0.25">
      <c r="A92" s="122"/>
      <c r="B92" s="130"/>
      <c r="C92" s="131"/>
      <c r="D92" s="125"/>
    </row>
    <row r="93" spans="1:4" x14ac:dyDescent="0.25">
      <c r="A93" s="122"/>
      <c r="B93" s="130"/>
      <c r="C93" s="131"/>
      <c r="D93" s="125"/>
    </row>
    <row r="94" spans="1:4" x14ac:dyDescent="0.25">
      <c r="A94" s="122"/>
      <c r="B94" s="130"/>
      <c r="C94" s="131"/>
      <c r="D94" s="125"/>
    </row>
    <row r="95" spans="1:4" x14ac:dyDescent="0.25">
      <c r="A95" s="122"/>
      <c r="B95" s="130"/>
      <c r="C95" s="131"/>
      <c r="D95" s="125"/>
    </row>
    <row r="96" spans="1:4" x14ac:dyDescent="0.25">
      <c r="A96" s="119"/>
      <c r="B96" s="132"/>
      <c r="C96" s="133"/>
      <c r="D96" s="121"/>
    </row>
  </sheetData>
  <sheetProtection password="F5F2" sheet="1" objects="1" scenarios="1"/>
  <pageMargins left="0.7" right="0.7" top="0.75" bottom="0.75" header="0.3" footer="0.3"/>
  <pageSetup paperSize="9" scale="71" orientation="portrait" r:id="rId1"/>
  <headerFooter>
    <oddHeader>&amp;Cwww.luke.fi/mariski</oddHeader>
  </headerFooter>
  <rowBreaks count="1" manualBreakCount="1">
    <brk id="29"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Laskuri</vt:lpstr>
      <vt:lpstr>Jakaumat</vt:lpstr>
      <vt:lpstr>Lähtötiedot</vt:lpstr>
      <vt:lpstr>Tuet</vt:lpstr>
      <vt:lpstr>Katelaskelmatuloste</vt:lpstr>
      <vt:lpstr>Katelaskelma</vt:lpstr>
      <vt:lpstr>Laskenta</vt:lpstr>
      <vt:lpstr>Työnmenekki (apu)</vt:lpstr>
      <vt:lpstr>Yleiskustannus (apu)</vt:lpstr>
      <vt:lpstr>Ruokinta</vt:lpstr>
      <vt:lpstr>Tulokset</vt:lpstr>
      <vt:lpstr>Katelaskelma!Print_Area</vt:lpstr>
      <vt:lpstr>Katelaskelmatuloste!Print_Area</vt:lpstr>
      <vt:lpstr>Laskuri!Print_Area</vt:lpstr>
    </vt:vector>
  </TitlesOfParts>
  <Company>MTTL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Olli Niskanen</dc:creator>
  <cp:lastModifiedBy>Heikkilä Anna-Maija</cp:lastModifiedBy>
  <cp:lastPrinted>2019-04-11T08:24:34Z</cp:lastPrinted>
  <dcterms:created xsi:type="dcterms:W3CDTF">2001-12-13T13:36:01Z</dcterms:created>
  <dcterms:modified xsi:type="dcterms:W3CDTF">2019-04-11T11:06:42Z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AdHocReviewCycleID">
    <vt:i4>673604016</vt:i4>
  </property>
  <property fmtid="{D5CDD505-2E9C-101B-9397-08002B2CF9AE}" pid="4" name="_EmailSubject">
    <vt:lpwstr>laskureiden päivitys</vt:lpwstr>
  </property>
  <property fmtid="{D5CDD505-2E9C-101B-9397-08002B2CF9AE}" pid="5" name="_AuthorEmail">
    <vt:lpwstr>anna-maija.heikkila@luke.fi</vt:lpwstr>
  </property>
  <property fmtid="{D5CDD505-2E9C-101B-9397-08002B2CF9AE}" pid="6" name="_AuthorEmailDisplayName">
    <vt:lpwstr>Heikkilä Anna-Maija (Luke)</vt:lpwstr>
  </property>
  <property fmtid="{D5CDD505-2E9C-101B-9397-08002B2CF9AE}" pid="7" name="_PreviousAdHocReviewCycleID">
    <vt:i4>1641675329</vt:i4>
  </property>
</Properties>
</file>